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jorgenbolling/Tresorit/***Energeia Norway Projects***/01 Prosjekter/02 Konsesjonssøknad/ENO-0010 Gunnhus/06 Konsesjoner/04 Revidert konsesjonssøknad 2025 - fixed tilt - etter tibakemelding fra NVE/02 Ferdig konsekvensutredning og vedlegg/"/>
    </mc:Choice>
  </mc:AlternateContent>
  <xr:revisionPtr revIDLastSave="0" documentId="13_ncr:1_{2541F07A-28DD-0446-82EA-83D3ACD79B7B}" xr6:coauthVersionLast="47" xr6:coauthVersionMax="47" xr10:uidLastSave="{00000000-0000-0000-0000-000000000000}"/>
  <bookViews>
    <workbookView xWindow="43580" yWindow="6780" windowWidth="34200" windowHeight="20160" xr2:uid="{00000000-000D-0000-FFFF-FFFF00000000}"/>
  </bookViews>
  <sheets>
    <sheet name="Beregning v2" sheetId="10" r:id="rId1"/>
  </sheets>
  <definedNames>
    <definedName name="_xlnm.Print_Area" localSheetId="0">'Beregning v2'!$B$1:$E$323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7" i="10" l="1"/>
  <c r="G32" i="10"/>
  <c r="F32" i="10"/>
  <c r="F33" i="10"/>
  <c r="C250" i="10"/>
  <c r="C330" i="10"/>
  <c r="D74" i="10" l="1"/>
  <c r="D73" i="10"/>
  <c r="D36" i="10"/>
  <c r="D37" i="10"/>
  <c r="C37" i="10"/>
  <c r="C36" i="10"/>
  <c r="D157" i="10" l="1"/>
  <c r="B286" i="10" l="1"/>
  <c r="H241" i="10"/>
  <c r="E37" i="10"/>
  <c r="H239" i="10" s="1"/>
  <c r="H238" i="10"/>
  <c r="H237" i="10"/>
  <c r="F37" i="10" l="1"/>
  <c r="G37" i="10"/>
  <c r="C241" i="10" l="1"/>
  <c r="H233" i="10"/>
  <c r="H231" i="10"/>
  <c r="H230" i="10"/>
  <c r="H229" i="10"/>
  <c r="H235" i="10"/>
  <c r="H227" i="10"/>
  <c r="H236" i="10" l="1"/>
  <c r="H228" i="10"/>
  <c r="F214" i="10" l="1"/>
  <c r="J229" i="10"/>
  <c r="J231" i="10"/>
  <c r="J230" i="10"/>
  <c r="J239" i="10"/>
  <c r="J238" i="10"/>
  <c r="J237" i="10"/>
  <c r="C239" i="10" l="1"/>
  <c r="C238" i="10"/>
  <c r="C237" i="10"/>
  <c r="C235" i="10"/>
  <c r="C236" i="10" s="1"/>
  <c r="C318" i="10"/>
  <c r="E74" i="10" l="1"/>
  <c r="D72" i="10"/>
  <c r="C198" i="10" l="1"/>
  <c r="C197" i="10"/>
  <c r="C196" i="10"/>
  <c r="C192" i="10"/>
  <c r="C191" i="10"/>
  <c r="C190" i="10"/>
  <c r="C184" i="10"/>
  <c r="C180" i="10"/>
  <c r="C179" i="10"/>
  <c r="C178" i="10"/>
  <c r="C141" i="10"/>
  <c r="C142" i="10" s="1"/>
  <c r="C143" i="10"/>
  <c r="C139" i="10"/>
  <c r="C137" i="10"/>
  <c r="C135" i="10"/>
  <c r="C133" i="10"/>
  <c r="C134" i="10" s="1"/>
  <c r="C131" i="10"/>
  <c r="C129" i="10"/>
  <c r="C130" i="10" s="1"/>
  <c r="C127" i="10"/>
  <c r="C125" i="10"/>
  <c r="C123" i="10"/>
  <c r="C121" i="10"/>
  <c r="C119" i="10"/>
  <c r="G33" i="10"/>
  <c r="G29" i="10"/>
  <c r="F29" i="10"/>
  <c r="G26" i="10"/>
  <c r="F26" i="10"/>
  <c r="G25" i="10"/>
  <c r="F25" i="10"/>
  <c r="D55" i="10"/>
  <c r="E55" i="10" s="1"/>
  <c r="E56" i="10"/>
  <c r="D50" i="10"/>
  <c r="D70" i="10"/>
  <c r="E70" i="10" s="1"/>
  <c r="D69" i="10"/>
  <c r="E69" i="10" s="1"/>
  <c r="D68" i="10"/>
  <c r="C182" i="10" s="1"/>
  <c r="E62" i="10"/>
  <c r="E61" i="10"/>
  <c r="E60" i="10"/>
  <c r="E59" i="10"/>
  <c r="E53" i="10"/>
  <c r="D58" i="10"/>
  <c r="E58" i="10" s="1"/>
  <c r="E48" i="10" s="1"/>
  <c r="D49" i="10" l="1"/>
  <c r="D67" i="10"/>
  <c r="D66" i="10" s="1"/>
  <c r="C194" i="10"/>
  <c r="C195" i="10" s="1"/>
  <c r="C188" i="10"/>
  <c r="C189" i="10" s="1"/>
  <c r="C117" i="10"/>
  <c r="D48" i="10"/>
  <c r="E68" i="10"/>
  <c r="F12" i="10"/>
  <c r="G12" i="10"/>
  <c r="F13" i="10"/>
  <c r="G13" i="10"/>
  <c r="F14" i="10"/>
  <c r="G14" i="10"/>
  <c r="C323" i="10"/>
  <c r="C322" i="10"/>
  <c r="C321" i="10"/>
  <c r="C233" i="10"/>
  <c r="F168" i="10"/>
  <c r="F166" i="10"/>
  <c r="E469" i="10"/>
  <c r="F469" i="10" s="1"/>
  <c r="G469" i="10" s="1"/>
  <c r="H469" i="10" s="1"/>
  <c r="I469" i="10" s="1"/>
  <c r="J469" i="10" s="1"/>
  <c r="K469" i="10" s="1"/>
  <c r="L469" i="10" s="1"/>
  <c r="M469" i="10" s="1"/>
  <c r="N469" i="10" s="1"/>
  <c r="O469" i="10" s="1"/>
  <c r="P469" i="10" s="1"/>
  <c r="Q469" i="10" s="1"/>
  <c r="R469" i="10" s="1"/>
  <c r="S469" i="10" s="1"/>
  <c r="T469" i="10" s="1"/>
  <c r="U469" i="10" s="1"/>
  <c r="V469" i="10" s="1"/>
  <c r="W469" i="10" s="1"/>
  <c r="X469" i="10" s="1"/>
  <c r="Y469" i="10" s="1"/>
  <c r="Z469" i="10" s="1"/>
  <c r="AA469" i="10" s="1"/>
  <c r="AB469" i="10" s="1"/>
  <c r="AC469" i="10" s="1"/>
  <c r="AD469" i="10" s="1"/>
  <c r="AE469" i="10" s="1"/>
  <c r="AF469" i="10" s="1"/>
  <c r="AG469" i="10" s="1"/>
  <c r="AH469" i="10" s="1"/>
  <c r="AI469" i="10" s="1"/>
  <c r="AJ469" i="10" s="1"/>
  <c r="AK469" i="10" s="1"/>
  <c r="AL469" i="10" s="1"/>
  <c r="AM469" i="10" s="1"/>
  <c r="AN469" i="10" s="1"/>
  <c r="AO469" i="10" s="1"/>
  <c r="AP469" i="10" s="1"/>
  <c r="AQ469" i="10" s="1"/>
  <c r="AR469" i="10" s="1"/>
  <c r="AS469" i="10" s="1"/>
  <c r="AT469" i="10" s="1"/>
  <c r="AU469" i="10" s="1"/>
  <c r="AV469" i="10" s="1"/>
  <c r="AW469" i="10" s="1"/>
  <c r="AX469" i="10" s="1"/>
  <c r="AY469" i="10" s="1"/>
  <c r="AZ469" i="10" s="1"/>
  <c r="BA469" i="10" s="1"/>
  <c r="BB469" i="10" s="1"/>
  <c r="BC469" i="10" s="1"/>
  <c r="BD469" i="10" s="1"/>
  <c r="BE469" i="10" s="1"/>
  <c r="BF469" i="10" s="1"/>
  <c r="BG469" i="10" s="1"/>
  <c r="BH469" i="10" s="1"/>
  <c r="BI469" i="10" s="1"/>
  <c r="BJ469" i="10" s="1"/>
  <c r="BK469" i="10" s="1"/>
  <c r="BL469" i="10" s="1"/>
  <c r="BM469" i="10" s="1"/>
  <c r="BN469" i="10" s="1"/>
  <c r="BO469" i="10" s="1"/>
  <c r="BP469" i="10" s="1"/>
  <c r="BQ469" i="10" s="1"/>
  <c r="BR469" i="10" s="1"/>
  <c r="BS469" i="10" s="1"/>
  <c r="BT469" i="10" s="1"/>
  <c r="BU469" i="10" s="1"/>
  <c r="BV469" i="10" s="1"/>
  <c r="BW469" i="10" s="1"/>
  <c r="BX469" i="10" s="1"/>
  <c r="BY469" i="10" s="1"/>
  <c r="BY453" i="10"/>
  <c r="BY464" i="10" s="1"/>
  <c r="BX453" i="10"/>
  <c r="BX455" i="10" s="1"/>
  <c r="BW453" i="10"/>
  <c r="BW455" i="10" s="1"/>
  <c r="BV453" i="10"/>
  <c r="BV455" i="10" s="1"/>
  <c r="BU453" i="10"/>
  <c r="BU455" i="10" s="1"/>
  <c r="BT453" i="10"/>
  <c r="BT464" i="10" s="1"/>
  <c r="BS453" i="10"/>
  <c r="BS464" i="10" s="1"/>
  <c r="BR453" i="10"/>
  <c r="BQ453" i="10"/>
  <c r="BP453" i="10"/>
  <c r="BO453" i="10"/>
  <c r="BO464" i="10" s="1"/>
  <c r="BN453" i="10"/>
  <c r="BN455" i="10" s="1"/>
  <c r="BM453" i="10"/>
  <c r="BM455" i="10" s="1"/>
  <c r="BL453" i="10"/>
  <c r="BL455" i="10" s="1"/>
  <c r="BK453" i="10"/>
  <c r="BJ453" i="10"/>
  <c r="BJ455" i="10" s="1"/>
  <c r="BI453" i="10"/>
  <c r="BH453" i="10"/>
  <c r="BG453" i="10"/>
  <c r="BF453" i="10"/>
  <c r="BF455" i="10" s="1"/>
  <c r="BE453" i="10"/>
  <c r="BE455" i="10" s="1"/>
  <c r="BD453" i="10"/>
  <c r="BD464" i="10" s="1"/>
  <c r="BC453" i="10"/>
  <c r="BB453" i="10"/>
  <c r="BB464" i="10" s="1"/>
  <c r="BA453" i="10"/>
  <c r="BA464" i="10" s="1"/>
  <c r="AZ453" i="10"/>
  <c r="AZ455" i="10" s="1"/>
  <c r="AY453" i="10"/>
  <c r="AY455" i="10" s="1"/>
  <c r="AX453" i="10"/>
  <c r="AX455" i="10" s="1"/>
  <c r="AW453" i="10"/>
  <c r="AW464" i="10" s="1"/>
  <c r="AV453" i="10"/>
  <c r="AV464" i="10" s="1"/>
  <c r="AU453" i="10"/>
  <c r="AT453" i="10"/>
  <c r="AT464" i="10" s="1"/>
  <c r="AS453" i="10"/>
  <c r="AS464" i="10" s="1"/>
  <c r="AR453" i="10"/>
  <c r="AR464" i="10" s="1"/>
  <c r="AQ453" i="10"/>
  <c r="AP453" i="10"/>
  <c r="AP455" i="10" s="1"/>
  <c r="AO453" i="10"/>
  <c r="AO455" i="10" s="1"/>
  <c r="AN453" i="10"/>
  <c r="AN464" i="10" s="1"/>
  <c r="AM453" i="10"/>
  <c r="AM464" i="10" s="1"/>
  <c r="AL453" i="10"/>
  <c r="AL455" i="10" s="1"/>
  <c r="AK453" i="10"/>
  <c r="AK464" i="10" s="1"/>
  <c r="AJ453" i="10"/>
  <c r="AJ455" i="10" s="1"/>
  <c r="AI453" i="10"/>
  <c r="AI464" i="10" s="1"/>
  <c r="AH453" i="10"/>
  <c r="AH455" i="10" s="1"/>
  <c r="AG453" i="10"/>
  <c r="AG455" i="10" s="1"/>
  <c r="BY447" i="10"/>
  <c r="BX447" i="10"/>
  <c r="BX459" i="10" s="1"/>
  <c r="BW447" i="10"/>
  <c r="BW449" i="10" s="1"/>
  <c r="BV447" i="10"/>
  <c r="BV459" i="10" s="1"/>
  <c r="BU447" i="10"/>
  <c r="BU459" i="10" s="1"/>
  <c r="BT447" i="10"/>
  <c r="BS447" i="10"/>
  <c r="BR447" i="10"/>
  <c r="BR459" i="10" s="1"/>
  <c r="BQ447" i="10"/>
  <c r="BQ449" i="10" s="1"/>
  <c r="BP447" i="10"/>
  <c r="BP459" i="10" s="1"/>
  <c r="BO447" i="10"/>
  <c r="BO449" i="10" s="1"/>
  <c r="BN447" i="10"/>
  <c r="BN449" i="10" s="1"/>
  <c r="BM447" i="10"/>
  <c r="BM459" i="10" s="1"/>
  <c r="BL447" i="10"/>
  <c r="BK447" i="10"/>
  <c r="BJ447" i="10"/>
  <c r="BJ459" i="10" s="1"/>
  <c r="BI447" i="10"/>
  <c r="BH447" i="10"/>
  <c r="BH449" i="10" s="1"/>
  <c r="BG447" i="10"/>
  <c r="BG449" i="10" s="1"/>
  <c r="BF447" i="10"/>
  <c r="BF459" i="10" s="1"/>
  <c r="BE447" i="10"/>
  <c r="BE459" i="10" s="1"/>
  <c r="BD447" i="10"/>
  <c r="BC447" i="10"/>
  <c r="BB447" i="10"/>
  <c r="BA447" i="10"/>
  <c r="AZ447" i="10"/>
  <c r="AZ449" i="10" s="1"/>
  <c r="AY447" i="10"/>
  <c r="AY459" i="10" s="1"/>
  <c r="AX447" i="10"/>
  <c r="AX449" i="10" s="1"/>
  <c r="AW447" i="10"/>
  <c r="AV447" i="10"/>
  <c r="AV449" i="10" s="1"/>
  <c r="AU447" i="10"/>
  <c r="AT447" i="10"/>
  <c r="AT459" i="10" s="1"/>
  <c r="AS447" i="10"/>
  <c r="AR447" i="10"/>
  <c r="AR449" i="10" s="1"/>
  <c r="AQ447" i="10"/>
  <c r="AQ459" i="10" s="1"/>
  <c r="AP447" i="10"/>
  <c r="AP459" i="10" s="1"/>
  <c r="AO447" i="10"/>
  <c r="AO459" i="10" s="1"/>
  <c r="AN447" i="10"/>
  <c r="AM447" i="10"/>
  <c r="AL447" i="10"/>
  <c r="AL459" i="10" s="1"/>
  <c r="AK447" i="10"/>
  <c r="AJ447" i="10"/>
  <c r="AJ459" i="10" s="1"/>
  <c r="AI447" i="10"/>
  <c r="AI459" i="10" s="1"/>
  <c r="AH447" i="10"/>
  <c r="AH459" i="10" s="1"/>
  <c r="AG447" i="10"/>
  <c r="AG459" i="10" s="1"/>
  <c r="AF447" i="10"/>
  <c r="AF449" i="10" s="1"/>
  <c r="AE447" i="10"/>
  <c r="AD447" i="10"/>
  <c r="AC447" i="10"/>
  <c r="AB447" i="10"/>
  <c r="AB459" i="10" s="1"/>
  <c r="E375" i="10"/>
  <c r="D375" i="10"/>
  <c r="C361" i="10"/>
  <c r="C220" i="10" s="1"/>
  <c r="H220" i="10" s="1"/>
  <c r="C352" i="10"/>
  <c r="C353" i="10" s="1"/>
  <c r="H343" i="10"/>
  <c r="H341" i="10"/>
  <c r="C338" i="10"/>
  <c r="C337" i="10"/>
  <c r="C328" i="10"/>
  <c r="C329" i="10"/>
  <c r="C320" i="10"/>
  <c r="C319" i="10"/>
  <c r="J292" i="10"/>
  <c r="J290" i="10"/>
  <c r="B287" i="10"/>
  <c r="F284" i="10"/>
  <c r="F283" i="10"/>
  <c r="C231" i="10"/>
  <c r="C230" i="10"/>
  <c r="C229" i="10"/>
  <c r="C227" i="10"/>
  <c r="C228" i="10" s="1"/>
  <c r="F221" i="10"/>
  <c r="E221" i="10"/>
  <c r="D221" i="10"/>
  <c r="G214" i="10"/>
  <c r="C186" i="10"/>
  <c r="C185" i="10"/>
  <c r="C183" i="10"/>
  <c r="G159" i="10"/>
  <c r="C126" i="10"/>
  <c r="H124" i="10"/>
  <c r="H125" i="10" s="1"/>
  <c r="H123" i="10"/>
  <c r="C122" i="10"/>
  <c r="H119" i="10"/>
  <c r="H118" i="10"/>
  <c r="C118" i="10"/>
  <c r="AC95" i="10"/>
  <c r="AC94" i="10" s="1"/>
  <c r="AC453" i="10" s="1"/>
  <c r="C95" i="10"/>
  <c r="AF94" i="10"/>
  <c r="AF453" i="10" s="1"/>
  <c r="AE94" i="10"/>
  <c r="AE453" i="10" s="1"/>
  <c r="AD94" i="10"/>
  <c r="AD453" i="10" s="1"/>
  <c r="AB94" i="10"/>
  <c r="AB453" i="10" s="1"/>
  <c r="AA93" i="10"/>
  <c r="AA447" i="10" s="1"/>
  <c r="Z93" i="10"/>
  <c r="Z447" i="10" s="1"/>
  <c r="Z459" i="10" s="1"/>
  <c r="Y93" i="10"/>
  <c r="Y447" i="10" s="1"/>
  <c r="X93" i="10"/>
  <c r="X447" i="10" s="1"/>
  <c r="W93" i="10"/>
  <c r="W447" i="10" s="1"/>
  <c r="V93" i="10"/>
  <c r="V447" i="10" s="1"/>
  <c r="V459" i="10" s="1"/>
  <c r="U93" i="10"/>
  <c r="U447" i="10" s="1"/>
  <c r="T93" i="10"/>
  <c r="T447" i="10" s="1"/>
  <c r="S93" i="10"/>
  <c r="S447" i="10" s="1"/>
  <c r="R93" i="10"/>
  <c r="R447" i="10" s="1"/>
  <c r="Q93" i="10"/>
  <c r="Q447" i="10" s="1"/>
  <c r="P93" i="10"/>
  <c r="P447" i="10" s="1"/>
  <c r="O93" i="10"/>
  <c r="O447" i="10" s="1"/>
  <c r="N93" i="10"/>
  <c r="N447" i="10" s="1"/>
  <c r="M93" i="10"/>
  <c r="M447" i="10" s="1"/>
  <c r="L93" i="10"/>
  <c r="L447" i="10" s="1"/>
  <c r="L449" i="10" s="1"/>
  <c r="K93" i="10"/>
  <c r="K447" i="10" s="1"/>
  <c r="J93" i="10"/>
  <c r="J447" i="10" s="1"/>
  <c r="J459" i="10" s="1"/>
  <c r="I93" i="10"/>
  <c r="I447" i="10" s="1"/>
  <c r="H93" i="10"/>
  <c r="H447" i="10" s="1"/>
  <c r="G93" i="10"/>
  <c r="G447" i="10" s="1"/>
  <c r="G449" i="10" s="1"/>
  <c r="F93" i="10"/>
  <c r="F447" i="10" s="1"/>
  <c r="E93" i="10"/>
  <c r="E447" i="10" s="1"/>
  <c r="D93" i="10"/>
  <c r="D447" i="10" s="1"/>
  <c r="C93" i="10"/>
  <c r="D92" i="10"/>
  <c r="E92" i="10" s="1"/>
  <c r="F92" i="10" s="1"/>
  <c r="G92" i="10" s="1"/>
  <c r="H92" i="10" s="1"/>
  <c r="I92" i="10" s="1"/>
  <c r="J92" i="10" s="1"/>
  <c r="K92" i="10" s="1"/>
  <c r="L92" i="10" s="1"/>
  <c r="M92" i="10" s="1"/>
  <c r="N92" i="10" s="1"/>
  <c r="O92" i="10" s="1"/>
  <c r="P92" i="10" s="1"/>
  <c r="Q92" i="10" s="1"/>
  <c r="R92" i="10" s="1"/>
  <c r="S92" i="10" s="1"/>
  <c r="T92" i="10" s="1"/>
  <c r="U92" i="10" s="1"/>
  <c r="V92" i="10" s="1"/>
  <c r="W92" i="10" s="1"/>
  <c r="X92" i="10" s="1"/>
  <c r="Y92" i="10" s="1"/>
  <c r="Z92" i="10" s="1"/>
  <c r="AA92" i="10" s="1"/>
  <c r="AB92" i="10" s="1"/>
  <c r="AC92" i="10" s="1"/>
  <c r="AD92" i="10" s="1"/>
  <c r="AE92" i="10" s="1"/>
  <c r="AF92" i="10" s="1"/>
  <c r="C86" i="10"/>
  <c r="C81" i="10"/>
  <c r="F81" i="10" s="1"/>
  <c r="E251" i="10" s="1"/>
  <c r="E73" i="10"/>
  <c r="E72" i="10" s="1"/>
  <c r="E67" i="10"/>
  <c r="E52" i="10"/>
  <c r="H52" i="10" s="1"/>
  <c r="E51" i="10"/>
  <c r="E50" i="10"/>
  <c r="G40" i="10"/>
  <c r="F40" i="10"/>
  <c r="G36" i="10"/>
  <c r="F36" i="10"/>
  <c r="G24" i="10"/>
  <c r="F24" i="10"/>
  <c r="G23" i="10"/>
  <c r="F23" i="10"/>
  <c r="G17" i="10"/>
  <c r="G16" i="10"/>
  <c r="F16" i="10"/>
  <c r="G15" i="10"/>
  <c r="F15" i="10"/>
  <c r="E6" i="10"/>
  <c r="E258" i="10" l="1"/>
  <c r="E250" i="10"/>
  <c r="G250" i="10" s="1"/>
  <c r="C211" i="10"/>
  <c r="D212" i="10"/>
  <c r="E213" i="10"/>
  <c r="C145" i="10"/>
  <c r="F67" i="10"/>
  <c r="E66" i="10"/>
  <c r="E64" i="10" s="1"/>
  <c r="D64" i="10"/>
  <c r="C138" i="10" s="1"/>
  <c r="C103" i="10" s="1"/>
  <c r="F103" i="10" s="1"/>
  <c r="F106" i="10" s="1"/>
  <c r="C176" i="10"/>
  <c r="C177" i="10" s="1"/>
  <c r="F159" i="10" s="1"/>
  <c r="E49" i="10"/>
  <c r="H214" i="10"/>
  <c r="G321" i="10"/>
  <c r="H73" i="10"/>
  <c r="I73" i="10"/>
  <c r="BT455" i="10"/>
  <c r="C336" i="10"/>
  <c r="BJ464" i="10"/>
  <c r="BH459" i="10"/>
  <c r="BL464" i="10"/>
  <c r="D95" i="10"/>
  <c r="E95" i="10" s="1"/>
  <c r="E94" i="10" s="1"/>
  <c r="E453" i="10" s="1"/>
  <c r="E455" i="10" s="1"/>
  <c r="BS455" i="10"/>
  <c r="BM464" i="10"/>
  <c r="BO459" i="10"/>
  <c r="BU464" i="10"/>
  <c r="C215" i="10"/>
  <c r="AM455" i="10"/>
  <c r="BQ459" i="10"/>
  <c r="BE464" i="10"/>
  <c r="AQ449" i="10"/>
  <c r="AG464" i="10"/>
  <c r="AT449" i="10"/>
  <c r="AO464" i="10"/>
  <c r="AY449" i="10"/>
  <c r="BF449" i="10"/>
  <c r="K52" i="10"/>
  <c r="AL464" i="10"/>
  <c r="BW459" i="10"/>
  <c r="G52" i="10"/>
  <c r="AH449" i="10"/>
  <c r="AS455" i="10"/>
  <c r="AR459" i="10"/>
  <c r="I52" i="10"/>
  <c r="AI449" i="10"/>
  <c r="BX449" i="10"/>
  <c r="AV455" i="10"/>
  <c r="AX459" i="10"/>
  <c r="AJ449" i="10"/>
  <c r="AW455" i="10"/>
  <c r="BA455" i="10"/>
  <c r="BN464" i="10"/>
  <c r="BV449" i="10"/>
  <c r="AI455" i="10"/>
  <c r="BB455" i="10"/>
  <c r="AZ459" i="10"/>
  <c r="AH464" i="10"/>
  <c r="AZ464" i="10"/>
  <c r="BO455" i="10"/>
  <c r="AP464" i="10"/>
  <c r="G67" i="10"/>
  <c r="C94" i="10"/>
  <c r="C110" i="10" s="1"/>
  <c r="BU449" i="10"/>
  <c r="AY464" i="10"/>
  <c r="BD455" i="10"/>
  <c r="BY455" i="10"/>
  <c r="BG459" i="10"/>
  <c r="AJ464" i="10"/>
  <c r="AV459" i="10"/>
  <c r="BV464" i="10"/>
  <c r="C331" i="10"/>
  <c r="C219" i="10" s="1"/>
  <c r="J52" i="10"/>
  <c r="AB449" i="10"/>
  <c r="AN455" i="10"/>
  <c r="BN459" i="10"/>
  <c r="BF464" i="10"/>
  <c r="R459" i="10"/>
  <c r="R449" i="10"/>
  <c r="O449" i="10"/>
  <c r="O459" i="10"/>
  <c r="E350" i="10"/>
  <c r="E108" i="10"/>
  <c r="J449" i="10"/>
  <c r="H120" i="10"/>
  <c r="H121" i="10" s="1"/>
  <c r="Z449" i="10"/>
  <c r="L459" i="10"/>
  <c r="D108" i="10"/>
  <c r="G10" i="10"/>
  <c r="K50" i="10" s="1"/>
  <c r="F10" i="10"/>
  <c r="J50" i="10" s="1"/>
  <c r="E262" i="10"/>
  <c r="E265" i="10"/>
  <c r="E252" i="10"/>
  <c r="G252" i="10" s="1"/>
  <c r="E260" i="10"/>
  <c r="G260" i="10" s="1"/>
  <c r="E257" i="10"/>
  <c r="G257" i="10" s="1"/>
  <c r="G258" i="10"/>
  <c r="E256" i="10"/>
  <c r="G256" i="10" s="1"/>
  <c r="E255" i="10"/>
  <c r="G255" i="10" s="1"/>
  <c r="E449" i="10"/>
  <c r="E459" i="10"/>
  <c r="F50" i="10"/>
  <c r="I50" i="10"/>
  <c r="AB464" i="10"/>
  <c r="AB455" i="10"/>
  <c r="G50" i="10"/>
  <c r="G51" i="10"/>
  <c r="AC464" i="10"/>
  <c r="AC455" i="10"/>
  <c r="G251" i="10"/>
  <c r="U459" i="10"/>
  <c r="U449" i="10"/>
  <c r="H449" i="10"/>
  <c r="H459" i="10"/>
  <c r="F17" i="10"/>
  <c r="F51" i="10"/>
  <c r="I459" i="10"/>
  <c r="I449" i="10"/>
  <c r="Q459" i="10"/>
  <c r="Q449" i="10"/>
  <c r="Y459" i="10"/>
  <c r="Y449" i="10"/>
  <c r="AD464" i="10"/>
  <c r="AD455" i="10"/>
  <c r="G220" i="10"/>
  <c r="D260" i="10" s="1"/>
  <c r="H260" i="10" s="1"/>
  <c r="AC449" i="10"/>
  <c r="AC459" i="10"/>
  <c r="AK459" i="10"/>
  <c r="AK449" i="10"/>
  <c r="AS459" i="10"/>
  <c r="AS449" i="10"/>
  <c r="BA459" i="10"/>
  <c r="BA449" i="10"/>
  <c r="BI459" i="10"/>
  <c r="BI449" i="10"/>
  <c r="BY459" i="10"/>
  <c r="BY449" i="10"/>
  <c r="F73" i="10"/>
  <c r="G73" i="10"/>
  <c r="H51" i="10"/>
  <c r="AE464" i="10"/>
  <c r="AE455" i="10"/>
  <c r="N459" i="10"/>
  <c r="N449" i="10"/>
  <c r="X449" i="10"/>
  <c r="X459" i="10"/>
  <c r="C89" i="10"/>
  <c r="C447" i="10"/>
  <c r="C108" i="10"/>
  <c r="K459" i="10"/>
  <c r="K449" i="10"/>
  <c r="S459" i="10"/>
  <c r="S449" i="10"/>
  <c r="AA459" i="10"/>
  <c r="AA449" i="10"/>
  <c r="AF455" i="10"/>
  <c r="AF464" i="10"/>
  <c r="M449" i="10"/>
  <c r="M459" i="10"/>
  <c r="H50" i="10"/>
  <c r="P449" i="10"/>
  <c r="P459" i="10"/>
  <c r="I68" i="10"/>
  <c r="H68" i="10"/>
  <c r="G68" i="10"/>
  <c r="F68" i="10"/>
  <c r="F11" i="10"/>
  <c r="J51" i="10" s="1"/>
  <c r="G11" i="10"/>
  <c r="K51" i="10" s="1"/>
  <c r="I51" i="10"/>
  <c r="D459" i="10"/>
  <c r="D449" i="10"/>
  <c r="T459" i="10"/>
  <c r="T449" i="10"/>
  <c r="AD459" i="10"/>
  <c r="AD449" i="10"/>
  <c r="BB459" i="10"/>
  <c r="BB449" i="10"/>
  <c r="BR449" i="10"/>
  <c r="AE449" i="10"/>
  <c r="AE459" i="10"/>
  <c r="AM449" i="10"/>
  <c r="AM459" i="10"/>
  <c r="AU449" i="10"/>
  <c r="AU459" i="10"/>
  <c r="BC459" i="10"/>
  <c r="BC449" i="10"/>
  <c r="BK459" i="10"/>
  <c r="BK449" i="10"/>
  <c r="BS449" i="10"/>
  <c r="BS459" i="10"/>
  <c r="AN449" i="10"/>
  <c r="AN459" i="10"/>
  <c r="BD449" i="10"/>
  <c r="BD459" i="10"/>
  <c r="BL459" i="10"/>
  <c r="BL449" i="10"/>
  <c r="BT449" i="10"/>
  <c r="BT459" i="10"/>
  <c r="E331" i="10"/>
  <c r="AF459" i="10"/>
  <c r="W449" i="10"/>
  <c r="W459" i="10"/>
  <c r="AL449" i="10"/>
  <c r="V449" i="10"/>
  <c r="AU455" i="10"/>
  <c r="AU464" i="10"/>
  <c r="BC464" i="10"/>
  <c r="BC455" i="10"/>
  <c r="BK464" i="10"/>
  <c r="BK455" i="10"/>
  <c r="F52" i="10"/>
  <c r="H67" i="10"/>
  <c r="I67" i="10"/>
  <c r="F459" i="10"/>
  <c r="F449" i="10"/>
  <c r="BJ449" i="10"/>
  <c r="AW459" i="10"/>
  <c r="AW449" i="10"/>
  <c r="AO449" i="10"/>
  <c r="BM449" i="10"/>
  <c r="AQ455" i="10"/>
  <c r="AQ464" i="10"/>
  <c r="BG464" i="10"/>
  <c r="BG455" i="10"/>
  <c r="AP449" i="10"/>
  <c r="BH464" i="10"/>
  <c r="BH455" i="10"/>
  <c r="BP464" i="10"/>
  <c r="BP455" i="10"/>
  <c r="AR455" i="10"/>
  <c r="BW464" i="10"/>
  <c r="BX464" i="10"/>
  <c r="AG449" i="10"/>
  <c r="BE449" i="10"/>
  <c r="BP449" i="10"/>
  <c r="BR455" i="10"/>
  <c r="BR464" i="10"/>
  <c r="AT455" i="10"/>
  <c r="G459" i="10"/>
  <c r="BI464" i="10"/>
  <c r="BI455" i="10"/>
  <c r="BQ464" i="10"/>
  <c r="BQ455" i="10"/>
  <c r="AK455" i="10"/>
  <c r="AX464" i="10"/>
  <c r="G262" i="10" l="1"/>
  <c r="E269" i="10"/>
  <c r="G269" i="10" s="1"/>
  <c r="E270" i="10"/>
  <c r="G270" i="10" s="1"/>
  <c r="AG458" i="10"/>
  <c r="E158" i="10"/>
  <c r="W458" i="10" s="1"/>
  <c r="D458" i="10"/>
  <c r="C156" i="10"/>
  <c r="C458" i="10" s="1"/>
  <c r="C463" i="10" s="1"/>
  <c r="C200" i="10"/>
  <c r="F215" i="10"/>
  <c r="AG468" i="10" s="1"/>
  <c r="AG467" i="10" s="1"/>
  <c r="AG470" i="10" s="1"/>
  <c r="F95" i="10"/>
  <c r="F94" i="10" s="1"/>
  <c r="F453" i="10" s="1"/>
  <c r="D94" i="10"/>
  <c r="D453" i="10" s="1"/>
  <c r="E464" i="10"/>
  <c r="G211" i="10"/>
  <c r="H211" i="10"/>
  <c r="J67" i="10"/>
  <c r="C348" i="10"/>
  <c r="C350" i="10" s="1"/>
  <c r="C168" i="10"/>
  <c r="G219" i="10"/>
  <c r="D257" i="10" s="1"/>
  <c r="H257" i="10" s="1"/>
  <c r="I257" i="10" s="1"/>
  <c r="C257" i="10" s="1"/>
  <c r="H219" i="10"/>
  <c r="E103" i="10"/>
  <c r="E106" i="10" s="1"/>
  <c r="E112" i="10" s="1"/>
  <c r="D103" i="10"/>
  <c r="F446" i="10" s="1"/>
  <c r="C446" i="10"/>
  <c r="C452" i="10" s="1"/>
  <c r="C284" i="10"/>
  <c r="C218" i="10"/>
  <c r="H218" i="10" s="1"/>
  <c r="C106" i="10"/>
  <c r="J48" i="10"/>
  <c r="K48" i="10"/>
  <c r="C453" i="10"/>
  <c r="C455" i="10" s="1"/>
  <c r="G108" i="10"/>
  <c r="E283" i="10"/>
  <c r="E166" i="10"/>
  <c r="C468" i="10"/>
  <c r="E215" i="10"/>
  <c r="H213" i="10"/>
  <c r="G213" i="10"/>
  <c r="C283" i="10"/>
  <c r="H108" i="10"/>
  <c r="C166" i="10"/>
  <c r="G156" i="10"/>
  <c r="H159" i="10"/>
  <c r="F161" i="10"/>
  <c r="AG473" i="10" s="1"/>
  <c r="C459" i="10"/>
  <c r="C408" i="10"/>
  <c r="C387" i="10" s="1"/>
  <c r="C449" i="10"/>
  <c r="G265" i="10"/>
  <c r="E267" i="10"/>
  <c r="G267" i="10" s="1"/>
  <c r="I260" i="10"/>
  <c r="C260" i="10" s="1"/>
  <c r="F114" i="10"/>
  <c r="F112" i="10"/>
  <c r="F282" i="10"/>
  <c r="F154" i="10"/>
  <c r="K67" i="10"/>
  <c r="J73" i="10"/>
  <c r="J72" i="10" s="1"/>
  <c r="K73" i="10"/>
  <c r="K72" i="10" s="1"/>
  <c r="D283" i="10"/>
  <c r="D166" i="10"/>
  <c r="K68" i="10"/>
  <c r="J68" i="10"/>
  <c r="H212" i="10"/>
  <c r="G212" i="10"/>
  <c r="D215" i="10"/>
  <c r="H156" i="10" l="1"/>
  <c r="D161" i="10"/>
  <c r="D286" i="10" s="1"/>
  <c r="H157" i="10"/>
  <c r="F223" i="10"/>
  <c r="F287" i="10" s="1"/>
  <c r="AH468" i="10"/>
  <c r="AH467" i="10" s="1"/>
  <c r="AH470" i="10" s="1"/>
  <c r="E161" i="10"/>
  <c r="W473" i="10" s="1"/>
  <c r="G158" i="10"/>
  <c r="H158" i="10"/>
  <c r="G157" i="10"/>
  <c r="C161" i="10"/>
  <c r="C473" i="10" s="1"/>
  <c r="C474" i="10" s="1"/>
  <c r="C457" i="10"/>
  <c r="C460" i="10" s="1"/>
  <c r="G95" i="10"/>
  <c r="H95" i="10" s="1"/>
  <c r="C351" i="10"/>
  <c r="C310" i="10" s="1"/>
  <c r="C314" i="10" s="1"/>
  <c r="D473" i="10"/>
  <c r="C154" i="10"/>
  <c r="C163" i="10" s="1"/>
  <c r="G446" i="10"/>
  <c r="G445" i="10" s="1"/>
  <c r="G448" i="10" s="1"/>
  <c r="D106" i="10"/>
  <c r="D112" i="10" s="1"/>
  <c r="C282" i="10"/>
  <c r="G215" i="10"/>
  <c r="H221" i="10"/>
  <c r="C308" i="10" s="1"/>
  <c r="C312" i="10" s="1"/>
  <c r="C349" i="10"/>
  <c r="E349" i="10" s="1"/>
  <c r="C442" i="10"/>
  <c r="C441" i="10" s="1"/>
  <c r="G218" i="10"/>
  <c r="H215" i="10"/>
  <c r="C114" i="10"/>
  <c r="C451" i="10"/>
  <c r="C454" i="10" s="1"/>
  <c r="G103" i="10"/>
  <c r="G106" i="10" s="1"/>
  <c r="D250" i="10" s="1"/>
  <c r="H250" i="10" s="1"/>
  <c r="I250" i="10" s="1"/>
  <c r="C464" i="10"/>
  <c r="C462" i="10" s="1"/>
  <c r="D446" i="10"/>
  <c r="D452" i="10" s="1"/>
  <c r="D451" i="10" s="1"/>
  <c r="D454" i="10" s="1"/>
  <c r="H103" i="10"/>
  <c r="H106" i="10" s="1"/>
  <c r="C221" i="10"/>
  <c r="C223" i="10" s="1"/>
  <c r="C287" i="10" s="1"/>
  <c r="C112" i="10"/>
  <c r="J64" i="10"/>
  <c r="E446" i="10"/>
  <c r="E445" i="10" s="1"/>
  <c r="E448" i="10" s="1"/>
  <c r="F163" i="10"/>
  <c r="F172" i="10" s="1"/>
  <c r="F286" i="10"/>
  <c r="E282" i="10"/>
  <c r="E154" i="10"/>
  <c r="E163" i="10" s="1"/>
  <c r="C445" i="10"/>
  <c r="C448" i="10" s="1"/>
  <c r="H283" i="10"/>
  <c r="F442" i="10"/>
  <c r="F441" i="10" s="1"/>
  <c r="F452" i="10"/>
  <c r="F451" i="10" s="1"/>
  <c r="F454" i="10" s="1"/>
  <c r="F445" i="10"/>
  <c r="F448" i="10" s="1"/>
  <c r="H446" i="10"/>
  <c r="C410" i="10"/>
  <c r="E387" i="10" s="1"/>
  <c r="C409" i="10"/>
  <c r="D387" i="10" s="1"/>
  <c r="AG457" i="10"/>
  <c r="AG460" i="10" s="1"/>
  <c r="AG463" i="10"/>
  <c r="AG462" i="10" s="1"/>
  <c r="AG465" i="10" s="1"/>
  <c r="AH458" i="10"/>
  <c r="K64" i="10"/>
  <c r="H166" i="10"/>
  <c r="G166" i="10"/>
  <c r="D468" i="10"/>
  <c r="D223" i="10"/>
  <c r="D287" i="10" s="1"/>
  <c r="W457" i="10"/>
  <c r="W460" i="10" s="1"/>
  <c r="X458" i="10"/>
  <c r="W463" i="10"/>
  <c r="E408" i="10"/>
  <c r="J223" i="10"/>
  <c r="AI468" i="10"/>
  <c r="C356" i="10"/>
  <c r="C309" i="10"/>
  <c r="C313" i="10" s="1"/>
  <c r="W468" i="10"/>
  <c r="E223" i="10"/>
  <c r="E287" i="10" s="1"/>
  <c r="D463" i="10"/>
  <c r="D457" i="10"/>
  <c r="D460" i="10" s="1"/>
  <c r="E458" i="10"/>
  <c r="D464" i="10"/>
  <c r="D455" i="10"/>
  <c r="F455" i="10"/>
  <c r="F464" i="10"/>
  <c r="D256" i="10" l="1"/>
  <c r="H256" i="10" s="1"/>
  <c r="I256" i="10" s="1"/>
  <c r="C256" i="10" s="1"/>
  <c r="G221" i="10"/>
  <c r="D255" i="10"/>
  <c r="H255" i="10" s="1"/>
  <c r="I255" i="10" s="1"/>
  <c r="C255" i="10" s="1"/>
  <c r="G223" i="10"/>
  <c r="H161" i="10"/>
  <c r="G161" i="10"/>
  <c r="G286" i="10"/>
  <c r="D265" i="10"/>
  <c r="F288" i="10"/>
  <c r="F290" i="10" s="1"/>
  <c r="E286" i="10"/>
  <c r="C286" i="10"/>
  <c r="H286" i="10" s="1"/>
  <c r="G452" i="10"/>
  <c r="G442" i="10"/>
  <c r="G441" i="10" s="1"/>
  <c r="G94" i="10"/>
  <c r="G453" i="10" s="1"/>
  <c r="D282" i="10"/>
  <c r="H282" i="10" s="1"/>
  <c r="E418" i="10"/>
  <c r="E433" i="10"/>
  <c r="E288" i="10"/>
  <c r="E290" i="10" s="1"/>
  <c r="C288" i="10"/>
  <c r="C292" i="10" s="1"/>
  <c r="D288" i="10"/>
  <c r="D442" i="10"/>
  <c r="D441" i="10" s="1"/>
  <c r="J220" i="10"/>
  <c r="E452" i="10"/>
  <c r="E451" i="10" s="1"/>
  <c r="E454" i="10" s="1"/>
  <c r="D154" i="10"/>
  <c r="D163" i="10" s="1"/>
  <c r="D170" i="10" s="1"/>
  <c r="C354" i="10"/>
  <c r="C355" i="10" s="1"/>
  <c r="D251" i="10"/>
  <c r="H251" i="10" s="1"/>
  <c r="I251" i="10" s="1"/>
  <c r="C251" i="10" s="1"/>
  <c r="G283" i="10"/>
  <c r="H223" i="10"/>
  <c r="E428" i="10" s="1"/>
  <c r="C479" i="10"/>
  <c r="D479" i="10" s="1"/>
  <c r="F170" i="10"/>
  <c r="H112" i="10"/>
  <c r="C469" i="10"/>
  <c r="C467" i="10" s="1"/>
  <c r="C480" i="10" s="1"/>
  <c r="E442" i="10"/>
  <c r="E441" i="10" s="1"/>
  <c r="D258" i="10"/>
  <c r="H258" i="10" s="1"/>
  <c r="I258" i="10" s="1"/>
  <c r="G112" i="10"/>
  <c r="D445" i="10"/>
  <c r="D448" i="10" s="1"/>
  <c r="E403" i="10"/>
  <c r="C478" i="10"/>
  <c r="D462" i="10"/>
  <c r="D465" i="10" s="1"/>
  <c r="E170" i="10"/>
  <c r="D467" i="10"/>
  <c r="D470" i="10" s="1"/>
  <c r="E468" i="10"/>
  <c r="D474" i="10"/>
  <c r="E473" i="10"/>
  <c r="X463" i="10"/>
  <c r="X457" i="10"/>
  <c r="X460" i="10" s="1"/>
  <c r="Y458" i="10"/>
  <c r="AG474" i="10"/>
  <c r="AH473" i="10"/>
  <c r="H445" i="10"/>
  <c r="H448" i="10" s="1"/>
  <c r="H442" i="10"/>
  <c r="H441" i="10" s="1"/>
  <c r="I446" i="10"/>
  <c r="H452" i="10"/>
  <c r="C170" i="10"/>
  <c r="C172" i="10"/>
  <c r="W474" i="10"/>
  <c r="X473" i="10"/>
  <c r="X468" i="10"/>
  <c r="W467" i="10"/>
  <c r="W470" i="10" s="1"/>
  <c r="H94" i="10"/>
  <c r="H453" i="10" s="1"/>
  <c r="I95" i="10"/>
  <c r="AI467" i="10"/>
  <c r="AI470" i="10" s="1"/>
  <c r="AJ468" i="10"/>
  <c r="C465" i="10"/>
  <c r="H287" i="10"/>
  <c r="E463" i="10"/>
  <c r="E462" i="10" s="1"/>
  <c r="E465" i="10" s="1"/>
  <c r="F458" i="10"/>
  <c r="E457" i="10"/>
  <c r="E460" i="10" s="1"/>
  <c r="AH457" i="10"/>
  <c r="AH460" i="10" s="1"/>
  <c r="AH463" i="10"/>
  <c r="AH462" i="10" s="1"/>
  <c r="AH465" i="10" s="1"/>
  <c r="AI458" i="10"/>
  <c r="G287" i="10" l="1"/>
  <c r="G288" i="10" s="1"/>
  <c r="K223" i="10"/>
  <c r="F292" i="10"/>
  <c r="D290" i="10"/>
  <c r="H154" i="10"/>
  <c r="H163" i="10" s="1"/>
  <c r="H170" i="10" s="1"/>
  <c r="G154" i="10"/>
  <c r="G163" i="10" s="1"/>
  <c r="H265" i="10" s="1"/>
  <c r="I265" i="10" s="1"/>
  <c r="C265" i="10" s="1"/>
  <c r="C290" i="10"/>
  <c r="H288" i="10"/>
  <c r="H290" i="10" s="1"/>
  <c r="C470" i="10"/>
  <c r="E479" i="10"/>
  <c r="F479" i="10" s="1"/>
  <c r="D478" i="10"/>
  <c r="E478" i="10" s="1"/>
  <c r="F478" i="10" s="1"/>
  <c r="G478" i="10" s="1"/>
  <c r="H478" i="10" s="1"/>
  <c r="D262" i="10"/>
  <c r="D480" i="10"/>
  <c r="H451" i="10"/>
  <c r="H454" i="10" s="1"/>
  <c r="I452" i="10"/>
  <c r="I445" i="10"/>
  <c r="I448" i="10" s="1"/>
  <c r="J446" i="10"/>
  <c r="I442" i="10"/>
  <c r="I441" i="10" s="1"/>
  <c r="I94" i="10"/>
  <c r="I453" i="10" s="1"/>
  <c r="J95" i="10"/>
  <c r="C258" i="10"/>
  <c r="C272" i="10" s="1"/>
  <c r="J258" i="10"/>
  <c r="Y473" i="10"/>
  <c r="X474" i="10"/>
  <c r="Y468" i="10"/>
  <c r="X467" i="10"/>
  <c r="X470" i="10" s="1"/>
  <c r="AJ458" i="10"/>
  <c r="AI457" i="10"/>
  <c r="AI460" i="10" s="1"/>
  <c r="AI463" i="10"/>
  <c r="AI462" i="10" s="1"/>
  <c r="AI465" i="10" s="1"/>
  <c r="E474" i="10"/>
  <c r="F473" i="10"/>
  <c r="H464" i="10"/>
  <c r="H455" i="10"/>
  <c r="G170" i="10"/>
  <c r="F468" i="10"/>
  <c r="E467" i="10"/>
  <c r="G464" i="10"/>
  <c r="G455" i="10"/>
  <c r="G451" i="10"/>
  <c r="G454" i="10" s="1"/>
  <c r="G458" i="10"/>
  <c r="F457" i="10"/>
  <c r="F463" i="10"/>
  <c r="F462" i="10" s="1"/>
  <c r="F465" i="10" s="1"/>
  <c r="AJ467" i="10"/>
  <c r="AJ470" i="10" s="1"/>
  <c r="AK468" i="10"/>
  <c r="AH474" i="10"/>
  <c r="AI473" i="10"/>
  <c r="Y463" i="10"/>
  <c r="Z458" i="10"/>
  <c r="Y457" i="10"/>
  <c r="Y460" i="10" s="1"/>
  <c r="G282" i="10" l="1"/>
  <c r="G290" i="10" s="1"/>
  <c r="H262" i="10"/>
  <c r="I262" i="10" s="1"/>
  <c r="C262" i="10" s="1"/>
  <c r="E480" i="10"/>
  <c r="AK467" i="10"/>
  <c r="AK470" i="10" s="1"/>
  <c r="AL468" i="10"/>
  <c r="Z473" i="10"/>
  <c r="Y474" i="10"/>
  <c r="J452" i="10"/>
  <c r="K446" i="10"/>
  <c r="J442" i="10"/>
  <c r="J441" i="10" s="1"/>
  <c r="J445" i="10"/>
  <c r="J448" i="10" s="1"/>
  <c r="I451" i="10"/>
  <c r="I454" i="10" s="1"/>
  <c r="F460" i="10"/>
  <c r="I478" i="10"/>
  <c r="K95" i="10"/>
  <c r="J94" i="10"/>
  <c r="Z463" i="10"/>
  <c r="AA458" i="10"/>
  <c r="Z457" i="10"/>
  <c r="Z460" i="10" s="1"/>
  <c r="F474" i="10"/>
  <c r="G473" i="10"/>
  <c r="G457" i="10"/>
  <c r="G460" i="10" s="1"/>
  <c r="H458" i="10"/>
  <c r="G463" i="10"/>
  <c r="G462" i="10" s="1"/>
  <c r="G465" i="10" s="1"/>
  <c r="E470" i="10"/>
  <c r="I464" i="10"/>
  <c r="I455" i="10"/>
  <c r="F467" i="10"/>
  <c r="F470" i="10" s="1"/>
  <c r="G468" i="10"/>
  <c r="AJ463" i="10"/>
  <c r="AJ462" i="10" s="1"/>
  <c r="AJ465" i="10" s="1"/>
  <c r="AK458" i="10"/>
  <c r="AJ457" i="10"/>
  <c r="AJ460" i="10" s="1"/>
  <c r="AJ473" i="10"/>
  <c r="AI474" i="10"/>
  <c r="G479" i="10"/>
  <c r="H479" i="10" s="1"/>
  <c r="Y467" i="10"/>
  <c r="Y470" i="10" s="1"/>
  <c r="Z468" i="10"/>
  <c r="D269" i="10" l="1"/>
  <c r="H269" i="10" s="1"/>
  <c r="I269" i="10" s="1"/>
  <c r="H267" i="10"/>
  <c r="I267" i="10" s="1"/>
  <c r="C267" i="10" s="1"/>
  <c r="J262" i="10"/>
  <c r="J478" i="10"/>
  <c r="I479" i="10"/>
  <c r="AJ474" i="10"/>
  <c r="AK473" i="10"/>
  <c r="Z467" i="10"/>
  <c r="Z470" i="10" s="1"/>
  <c r="AA468" i="10"/>
  <c r="AK463" i="10"/>
  <c r="AK462" i="10" s="1"/>
  <c r="AK465" i="10" s="1"/>
  <c r="AL458" i="10"/>
  <c r="AK457" i="10"/>
  <c r="AK460" i="10" s="1"/>
  <c r="H463" i="10"/>
  <c r="H462" i="10" s="1"/>
  <c r="H457" i="10"/>
  <c r="I458" i="10"/>
  <c r="AB458" i="10"/>
  <c r="AA463" i="10"/>
  <c r="AA457" i="10"/>
  <c r="AA460" i="10" s="1"/>
  <c r="L446" i="10"/>
  <c r="K452" i="10"/>
  <c r="K445" i="10"/>
  <c r="K448" i="10" s="1"/>
  <c r="K442" i="10"/>
  <c r="AL467" i="10"/>
  <c r="AL470" i="10" s="1"/>
  <c r="AM468" i="10"/>
  <c r="G467" i="10"/>
  <c r="H468" i="10"/>
  <c r="J453" i="10"/>
  <c r="J451" i="10" s="1"/>
  <c r="G474" i="10"/>
  <c r="H473" i="10"/>
  <c r="L95" i="10"/>
  <c r="K94" i="10"/>
  <c r="F480" i="10"/>
  <c r="Z474" i="10"/>
  <c r="AA473" i="10"/>
  <c r="J267" i="10" l="1"/>
  <c r="C269" i="10"/>
  <c r="G480" i="10"/>
  <c r="K478" i="10"/>
  <c r="J454" i="10"/>
  <c r="J479" i="10"/>
  <c r="AA467" i="10"/>
  <c r="AA470" i="10" s="1"/>
  <c r="AB468" i="10"/>
  <c r="AA474" i="10"/>
  <c r="AB473" i="10"/>
  <c r="K453" i="10"/>
  <c r="K451" i="10" s="1"/>
  <c r="K454" i="10" s="1"/>
  <c r="I468" i="10"/>
  <c r="H467" i="10"/>
  <c r="H470" i="10" s="1"/>
  <c r="L442" i="10"/>
  <c r="L441" i="10" s="1"/>
  <c r="L445" i="10"/>
  <c r="L448" i="10" s="1"/>
  <c r="L452" i="10"/>
  <c r="M446" i="10"/>
  <c r="AM458" i="10"/>
  <c r="AL463" i="10"/>
  <c r="AL462" i="10" s="1"/>
  <c r="AL465" i="10" s="1"/>
  <c r="AL457" i="10"/>
  <c r="AL460" i="10" s="1"/>
  <c r="J458" i="10"/>
  <c r="I457" i="10"/>
  <c r="I460" i="10" s="1"/>
  <c r="I463" i="10"/>
  <c r="I462" i="10" s="1"/>
  <c r="I465" i="10" s="1"/>
  <c r="M95" i="10"/>
  <c r="L94" i="10"/>
  <c r="AL473" i="10"/>
  <c r="AK474" i="10"/>
  <c r="G470" i="10"/>
  <c r="I473" i="10"/>
  <c r="H474" i="10"/>
  <c r="AM467" i="10"/>
  <c r="AM470" i="10" s="1"/>
  <c r="AN468" i="10"/>
  <c r="AC458" i="10"/>
  <c r="AB463" i="10"/>
  <c r="AB462" i="10" s="1"/>
  <c r="AB465" i="10" s="1"/>
  <c r="AB457" i="10"/>
  <c r="AB460" i="10" s="1"/>
  <c r="K441" i="10"/>
  <c r="H460" i="10"/>
  <c r="J455" i="10"/>
  <c r="J464" i="10"/>
  <c r="H465" i="10"/>
  <c r="K479" i="10" l="1"/>
  <c r="L478" i="10"/>
  <c r="N95" i="10"/>
  <c r="M94" i="10"/>
  <c r="M453" i="10" s="1"/>
  <c r="AC473" i="10"/>
  <c r="AB474" i="10"/>
  <c r="N446" i="10"/>
  <c r="M445" i="10"/>
  <c r="M448" i="10" s="1"/>
  <c r="M452" i="10"/>
  <c r="O446" i="10"/>
  <c r="M442" i="10"/>
  <c r="M441" i="10" s="1"/>
  <c r="AB467" i="10"/>
  <c r="AB470" i="10" s="1"/>
  <c r="AC468" i="10"/>
  <c r="I474" i="10"/>
  <c r="J473" i="10"/>
  <c r="AD458" i="10"/>
  <c r="AC457" i="10"/>
  <c r="AC460" i="10" s="1"/>
  <c r="AC463" i="10"/>
  <c r="AC462" i="10" s="1"/>
  <c r="AC465" i="10" s="1"/>
  <c r="K458" i="10"/>
  <c r="J457" i="10"/>
  <c r="J463" i="10"/>
  <c r="J462" i="10" s="1"/>
  <c r="H480" i="10"/>
  <c r="J468" i="10"/>
  <c r="I467" i="10"/>
  <c r="I470" i="10" s="1"/>
  <c r="AO468" i="10"/>
  <c r="AN467" i="10"/>
  <c r="AN470" i="10" s="1"/>
  <c r="AL474" i="10"/>
  <c r="AM473" i="10"/>
  <c r="L453" i="10"/>
  <c r="AM457" i="10"/>
  <c r="AM460" i="10" s="1"/>
  <c r="AN458" i="10"/>
  <c r="AM463" i="10"/>
  <c r="AM462" i="10" s="1"/>
  <c r="AM465" i="10" s="1"/>
  <c r="K455" i="10"/>
  <c r="K464" i="10"/>
  <c r="I480" i="10" l="1"/>
  <c r="M451" i="10"/>
  <c r="M454" i="10" s="1"/>
  <c r="K473" i="10"/>
  <c r="J474" i="10"/>
  <c r="L455" i="10"/>
  <c r="L464" i="10"/>
  <c r="K468" i="10"/>
  <c r="J467" i="10"/>
  <c r="J470" i="10" s="1"/>
  <c r="N452" i="10"/>
  <c r="N442" i="10"/>
  <c r="N441" i="10" s="1"/>
  <c r="N445" i="10"/>
  <c r="N448" i="10" s="1"/>
  <c r="L451" i="10"/>
  <c r="J460" i="10"/>
  <c r="M478" i="10"/>
  <c r="AC474" i="10"/>
  <c r="AD473" i="10"/>
  <c r="AM474" i="10"/>
  <c r="AN473" i="10"/>
  <c r="AD463" i="10"/>
  <c r="AD462" i="10" s="1"/>
  <c r="AD465" i="10" s="1"/>
  <c r="AD457" i="10"/>
  <c r="AD460" i="10" s="1"/>
  <c r="AE458" i="10"/>
  <c r="AC467" i="10"/>
  <c r="AC470" i="10" s="1"/>
  <c r="AD468" i="10"/>
  <c r="J465" i="10"/>
  <c r="AN463" i="10"/>
  <c r="AN462" i="10" s="1"/>
  <c r="AN465" i="10" s="1"/>
  <c r="AN457" i="10"/>
  <c r="AN460" i="10" s="1"/>
  <c r="AO458" i="10"/>
  <c r="L458" i="10"/>
  <c r="K463" i="10"/>
  <c r="K462" i="10" s="1"/>
  <c r="K465" i="10" s="1"/>
  <c r="K457" i="10"/>
  <c r="K460" i="10" s="1"/>
  <c r="M464" i="10"/>
  <c r="M455" i="10"/>
  <c r="AP468" i="10"/>
  <c r="AO467" i="10"/>
  <c r="AO470" i="10" s="1"/>
  <c r="O452" i="10"/>
  <c r="O442" i="10"/>
  <c r="O441" i="10" s="1"/>
  <c r="P446" i="10"/>
  <c r="O445" i="10"/>
  <c r="O448" i="10" s="1"/>
  <c r="O95" i="10"/>
  <c r="N94" i="10"/>
  <c r="N453" i="10" s="1"/>
  <c r="J480" i="10" l="1"/>
  <c r="L454" i="10"/>
  <c r="L479" i="10"/>
  <c r="M479" i="10" s="1"/>
  <c r="O94" i="10"/>
  <c r="O453" i="10" s="1"/>
  <c r="O451" i="10" s="1"/>
  <c r="O454" i="10" s="1"/>
  <c r="P95" i="10"/>
  <c r="AO473" i="10"/>
  <c r="AN474" i="10"/>
  <c r="AO457" i="10"/>
  <c r="AO460" i="10" s="1"/>
  <c r="AO463" i="10"/>
  <c r="AO462" i="10" s="1"/>
  <c r="AO465" i="10" s="1"/>
  <c r="AP458" i="10"/>
  <c r="AE468" i="10"/>
  <c r="AD467" i="10"/>
  <c r="AD470" i="10" s="1"/>
  <c r="AD474" i="10"/>
  <c r="AE473" i="10"/>
  <c r="N451" i="10"/>
  <c r="N454" i="10" s="1"/>
  <c r="K474" i="10"/>
  <c r="L473" i="10"/>
  <c r="AQ468" i="10"/>
  <c r="AP467" i="10"/>
  <c r="AP470" i="10" s="1"/>
  <c r="N455" i="10"/>
  <c r="N464" i="10"/>
  <c r="P452" i="10"/>
  <c r="Q446" i="10"/>
  <c r="P445" i="10"/>
  <c r="P448" i="10" s="1"/>
  <c r="P442" i="10"/>
  <c r="P441" i="10" s="1"/>
  <c r="L463" i="10"/>
  <c r="L462" i="10" s="1"/>
  <c r="L465" i="10" s="1"/>
  <c r="L457" i="10"/>
  <c r="L460" i="10" s="1"/>
  <c r="M458" i="10"/>
  <c r="AE457" i="10"/>
  <c r="AE460" i="10" s="1"/>
  <c r="AE463" i="10"/>
  <c r="AE462" i="10" s="1"/>
  <c r="AE465" i="10" s="1"/>
  <c r="AF458" i="10"/>
  <c r="N478" i="10"/>
  <c r="O478" i="10" s="1"/>
  <c r="L468" i="10"/>
  <c r="K467" i="10"/>
  <c r="K470" i="10" s="1"/>
  <c r="P478" i="10" l="1"/>
  <c r="N479" i="10"/>
  <c r="O479" i="10" s="1"/>
  <c r="M463" i="10"/>
  <c r="M462" i="10" s="1"/>
  <c r="M465" i="10" s="1"/>
  <c r="M457" i="10"/>
  <c r="M460" i="10" s="1"/>
  <c r="N458" i="10"/>
  <c r="AO474" i="10"/>
  <c r="AP473" i="10"/>
  <c r="AE474" i="10"/>
  <c r="AF473" i="10"/>
  <c r="AF474" i="10" s="1"/>
  <c r="K480" i="10"/>
  <c r="P94" i="10"/>
  <c r="P453" i="10" s="1"/>
  <c r="P451" i="10" s="1"/>
  <c r="P454" i="10" s="1"/>
  <c r="Q95" i="10"/>
  <c r="L467" i="10"/>
  <c r="L470" i="10" s="1"/>
  <c r="M468" i="10"/>
  <c r="AF468" i="10"/>
  <c r="AF467" i="10" s="1"/>
  <c r="AF470" i="10" s="1"/>
  <c r="AE467" i="10"/>
  <c r="AE470" i="10" s="1"/>
  <c r="O455" i="10"/>
  <c r="O464" i="10"/>
  <c r="AQ467" i="10"/>
  <c r="AQ470" i="10" s="1"/>
  <c r="AR468" i="10"/>
  <c r="AF463" i="10"/>
  <c r="AF462" i="10" s="1"/>
  <c r="AF465" i="10" s="1"/>
  <c r="AF457" i="10"/>
  <c r="AF460" i="10" s="1"/>
  <c r="M473" i="10"/>
  <c r="L474" i="10"/>
  <c r="AP463" i="10"/>
  <c r="AP462" i="10" s="1"/>
  <c r="AP465" i="10" s="1"/>
  <c r="AQ458" i="10"/>
  <c r="AP457" i="10"/>
  <c r="AP460" i="10" s="1"/>
  <c r="Q452" i="10"/>
  <c r="Q445" i="10"/>
  <c r="Q448" i="10" s="1"/>
  <c r="R446" i="10"/>
  <c r="Q442" i="10"/>
  <c r="Q441" i="10" s="1"/>
  <c r="L480" i="10" l="1"/>
  <c r="P479" i="10"/>
  <c r="M467" i="10"/>
  <c r="M470" i="10" s="1"/>
  <c r="N468" i="10"/>
  <c r="N473" i="10"/>
  <c r="M474" i="10"/>
  <c r="AR467" i="10"/>
  <c r="AR470" i="10" s="1"/>
  <c r="AS468" i="10"/>
  <c r="N463" i="10"/>
  <c r="N462" i="10" s="1"/>
  <c r="N465" i="10" s="1"/>
  <c r="O458" i="10"/>
  <c r="N457" i="10"/>
  <c r="N460" i="10" s="1"/>
  <c r="AR458" i="10"/>
  <c r="AQ457" i="10"/>
  <c r="AQ460" i="10" s="1"/>
  <c r="AQ463" i="10"/>
  <c r="AQ462" i="10" s="1"/>
  <c r="AQ465" i="10" s="1"/>
  <c r="Q94" i="10"/>
  <c r="Q453" i="10" s="1"/>
  <c r="R95" i="10"/>
  <c r="R452" i="10"/>
  <c r="S446" i="10"/>
  <c r="R445" i="10"/>
  <c r="R448" i="10" s="1"/>
  <c r="R442" i="10"/>
  <c r="R441" i="10" s="1"/>
  <c r="AP474" i="10"/>
  <c r="AQ473" i="10"/>
  <c r="Q478" i="10"/>
  <c r="P464" i="10"/>
  <c r="P455" i="10"/>
  <c r="R478" i="10" l="1"/>
  <c r="N474" i="10"/>
  <c r="O473" i="10"/>
  <c r="AS458" i="10"/>
  <c r="AR463" i="10"/>
  <c r="AR462" i="10" s="1"/>
  <c r="AR465" i="10" s="1"/>
  <c r="AR457" i="10"/>
  <c r="AR460" i="10" s="1"/>
  <c r="M480" i="10"/>
  <c r="Q464" i="10"/>
  <c r="Q455" i="10"/>
  <c r="AQ474" i="10"/>
  <c r="AR473" i="10"/>
  <c r="O468" i="10"/>
  <c r="N467" i="10"/>
  <c r="N470" i="10" s="1"/>
  <c r="T446" i="10"/>
  <c r="S445" i="10"/>
  <c r="S448" i="10" s="1"/>
  <c r="S442" i="10"/>
  <c r="S441" i="10" s="1"/>
  <c r="S452" i="10"/>
  <c r="O457" i="10"/>
  <c r="O460" i="10" s="1"/>
  <c r="P458" i="10"/>
  <c r="O463" i="10"/>
  <c r="O462" i="10" s="1"/>
  <c r="O465" i="10" s="1"/>
  <c r="S95" i="10"/>
  <c r="R94" i="10"/>
  <c r="R453" i="10" s="1"/>
  <c r="R451" i="10" s="1"/>
  <c r="R454" i="10" s="1"/>
  <c r="AS467" i="10"/>
  <c r="AS470" i="10" s="1"/>
  <c r="AT468" i="10"/>
  <c r="Q451" i="10"/>
  <c r="Q454" i="10" s="1"/>
  <c r="Q479" i="10" l="1"/>
  <c r="R479" i="10" s="1"/>
  <c r="N480" i="10"/>
  <c r="O467" i="10"/>
  <c r="O470" i="10" s="1"/>
  <c r="P468" i="10"/>
  <c r="S94" i="10"/>
  <c r="S453" i="10" s="1"/>
  <c r="S451" i="10" s="1"/>
  <c r="S454" i="10" s="1"/>
  <c r="T95" i="10"/>
  <c r="S478" i="10"/>
  <c r="AS457" i="10"/>
  <c r="AS460" i="10" s="1"/>
  <c r="AS463" i="10"/>
  <c r="AS462" i="10" s="1"/>
  <c r="AS465" i="10" s="1"/>
  <c r="AT458" i="10"/>
  <c r="P473" i="10"/>
  <c r="O474" i="10"/>
  <c r="R455" i="10"/>
  <c r="R464" i="10"/>
  <c r="T442" i="10"/>
  <c r="T441" i="10" s="1"/>
  <c r="U446" i="10"/>
  <c r="T445" i="10"/>
  <c r="T448" i="10" s="1"/>
  <c r="T452" i="10"/>
  <c r="P463" i="10"/>
  <c r="P462" i="10" s="1"/>
  <c r="P465" i="10" s="1"/>
  <c r="Q458" i="10"/>
  <c r="P457" i="10"/>
  <c r="P460" i="10" s="1"/>
  <c r="AR474" i="10"/>
  <c r="AS473" i="10"/>
  <c r="AU468" i="10"/>
  <c r="AT467" i="10"/>
  <c r="AT470" i="10" s="1"/>
  <c r="T478" i="10" l="1"/>
  <c r="AU467" i="10"/>
  <c r="AU470" i="10" s="1"/>
  <c r="AV468" i="10"/>
  <c r="U95" i="10"/>
  <c r="T94" i="10"/>
  <c r="T453" i="10" s="1"/>
  <c r="T451" i="10" s="1"/>
  <c r="T454" i="10" s="1"/>
  <c r="AS474" i="10"/>
  <c r="AT473" i="10"/>
  <c r="V446" i="10"/>
  <c r="U445" i="10"/>
  <c r="U448" i="10" s="1"/>
  <c r="U442" i="10"/>
  <c r="U441" i="10" s="1"/>
  <c r="U452" i="10"/>
  <c r="S464" i="10"/>
  <c r="S455" i="10"/>
  <c r="R458" i="10"/>
  <c r="Q457" i="10"/>
  <c r="Q460" i="10" s="1"/>
  <c r="Q463" i="10"/>
  <c r="Q462" i="10" s="1"/>
  <c r="Q465" i="10" s="1"/>
  <c r="Q468" i="10"/>
  <c r="P467" i="10"/>
  <c r="P470" i="10" s="1"/>
  <c r="Q473" i="10"/>
  <c r="P474" i="10"/>
  <c r="AT463" i="10"/>
  <c r="AT462" i="10" s="1"/>
  <c r="AT465" i="10" s="1"/>
  <c r="AU458" i="10"/>
  <c r="AT457" i="10"/>
  <c r="AT460" i="10" s="1"/>
  <c r="O480" i="10"/>
  <c r="S479" i="10"/>
  <c r="U478" i="10" l="1"/>
  <c r="R473" i="10"/>
  <c r="Q474" i="10"/>
  <c r="U94" i="10"/>
  <c r="U453" i="10" s="1"/>
  <c r="U451" i="10" s="1"/>
  <c r="U454" i="10" s="1"/>
  <c r="V95" i="10"/>
  <c r="AW468" i="10"/>
  <c r="AV467" i="10"/>
  <c r="AV470" i="10" s="1"/>
  <c r="V445" i="10"/>
  <c r="V448" i="10" s="1"/>
  <c r="V442" i="10"/>
  <c r="V441" i="10" s="1"/>
  <c r="V452" i="10"/>
  <c r="W446" i="10"/>
  <c r="AU457" i="10"/>
  <c r="AU460" i="10" s="1"/>
  <c r="AV458" i="10"/>
  <c r="AU463" i="10"/>
  <c r="AU462" i="10" s="1"/>
  <c r="AU465" i="10" s="1"/>
  <c r="S458" i="10"/>
  <c r="R457" i="10"/>
  <c r="R460" i="10" s="1"/>
  <c r="R463" i="10"/>
  <c r="R462" i="10" s="1"/>
  <c r="R465" i="10" s="1"/>
  <c r="AT474" i="10"/>
  <c r="AU473" i="10"/>
  <c r="T464" i="10"/>
  <c r="T455" i="10"/>
  <c r="T479" i="10"/>
  <c r="P480" i="10"/>
  <c r="Q467" i="10"/>
  <c r="Q470" i="10" s="1"/>
  <c r="R468" i="10"/>
  <c r="Q480" i="10" l="1"/>
  <c r="U479" i="10"/>
  <c r="V478" i="10"/>
  <c r="T458" i="10"/>
  <c r="S457" i="10"/>
  <c r="S460" i="10" s="1"/>
  <c r="S463" i="10"/>
  <c r="S462" i="10" s="1"/>
  <c r="S465" i="10" s="1"/>
  <c r="AW467" i="10"/>
  <c r="AW470" i="10" s="1"/>
  <c r="AX468" i="10"/>
  <c r="AV463" i="10"/>
  <c r="AV462" i="10" s="1"/>
  <c r="AV465" i="10" s="1"/>
  <c r="AV457" i="10"/>
  <c r="AV460" i="10" s="1"/>
  <c r="AW458" i="10"/>
  <c r="W95" i="10"/>
  <c r="V94" i="10"/>
  <c r="AU474" i="10"/>
  <c r="AV473" i="10"/>
  <c r="U464" i="10"/>
  <c r="U455" i="10"/>
  <c r="R467" i="10"/>
  <c r="R470" i="10" s="1"/>
  <c r="S468" i="10"/>
  <c r="W442" i="10"/>
  <c r="W441" i="10" s="1"/>
  <c r="W452" i="10"/>
  <c r="X446" i="10"/>
  <c r="W445" i="10"/>
  <c r="W448" i="10" s="1"/>
  <c r="R474" i="10"/>
  <c r="S473" i="10"/>
  <c r="V453" i="10" l="1"/>
  <c r="V451" i="10" s="1"/>
  <c r="V454" i="10" s="1"/>
  <c r="D110" i="10"/>
  <c r="X442" i="10"/>
  <c r="X441" i="10" s="1"/>
  <c r="X452" i="10"/>
  <c r="Y446" i="10"/>
  <c r="X445" i="10"/>
  <c r="X448" i="10" s="1"/>
  <c r="AX467" i="10"/>
  <c r="AX470" i="10" s="1"/>
  <c r="AY468" i="10"/>
  <c r="AW473" i="10"/>
  <c r="AV474" i="10"/>
  <c r="X95" i="10"/>
  <c r="W94" i="10"/>
  <c r="U458" i="10"/>
  <c r="T457" i="10"/>
  <c r="T460" i="10" s="1"/>
  <c r="T463" i="10"/>
  <c r="T462" i="10" s="1"/>
  <c r="T465" i="10" s="1"/>
  <c r="S467" i="10"/>
  <c r="S470" i="10" s="1"/>
  <c r="T468" i="10"/>
  <c r="AW457" i="10"/>
  <c r="AW460" i="10" s="1"/>
  <c r="AW463" i="10"/>
  <c r="AW462" i="10" s="1"/>
  <c r="AW465" i="10" s="1"/>
  <c r="AX458" i="10"/>
  <c r="W478" i="10"/>
  <c r="T473" i="10"/>
  <c r="S474" i="10"/>
  <c r="R480" i="10"/>
  <c r="S480" i="10" l="1"/>
  <c r="V479" i="10"/>
  <c r="V464" i="10"/>
  <c r="V455" i="10"/>
  <c r="W453" i="10"/>
  <c r="W451" i="10" s="1"/>
  <c r="W454" i="10" s="1"/>
  <c r="X478" i="10"/>
  <c r="T474" i="10"/>
  <c r="U473" i="10"/>
  <c r="U463" i="10"/>
  <c r="U462" i="10" s="1"/>
  <c r="U465" i="10" s="1"/>
  <c r="U457" i="10"/>
  <c r="U460" i="10" s="1"/>
  <c r="V458" i="10"/>
  <c r="AX473" i="10"/>
  <c r="AW474" i="10"/>
  <c r="AX457" i="10"/>
  <c r="AX460" i="10" s="1"/>
  <c r="AX463" i="10"/>
  <c r="AX462" i="10" s="1"/>
  <c r="AX465" i="10" s="1"/>
  <c r="AY458" i="10"/>
  <c r="AZ468" i="10"/>
  <c r="AY467" i="10"/>
  <c r="AY470" i="10" s="1"/>
  <c r="T467" i="10"/>
  <c r="T470" i="10" s="1"/>
  <c r="U468" i="10"/>
  <c r="X94" i="10"/>
  <c r="X453" i="10" s="1"/>
  <c r="X451" i="10" s="1"/>
  <c r="X454" i="10" s="1"/>
  <c r="Y95" i="10"/>
  <c r="Y452" i="10"/>
  <c r="Y445" i="10"/>
  <c r="Y448" i="10" s="1"/>
  <c r="Z446" i="10"/>
  <c r="Y442" i="10"/>
  <c r="Y441" i="10" s="1"/>
  <c r="W464" i="10" l="1"/>
  <c r="W462" i="10" s="1"/>
  <c r="W465" i="10" s="1"/>
  <c r="W455" i="10"/>
  <c r="W479" i="10"/>
  <c r="X479" i="10" s="1"/>
  <c r="Y478" i="10"/>
  <c r="V463" i="10"/>
  <c r="V462" i="10" s="1"/>
  <c r="V465" i="10" s="1"/>
  <c r="V457" i="10"/>
  <c r="V460" i="10" s="1"/>
  <c r="Z452" i="10"/>
  <c r="AA446" i="10"/>
  <c r="Z445" i="10"/>
  <c r="Z448" i="10" s="1"/>
  <c r="Z442" i="10"/>
  <c r="Z441" i="10" s="1"/>
  <c r="Y94" i="10"/>
  <c r="Y453" i="10" s="1"/>
  <c r="Z95" i="10"/>
  <c r="X455" i="10"/>
  <c r="X464" i="10"/>
  <c r="X462" i="10" s="1"/>
  <c r="X465" i="10" s="1"/>
  <c r="AZ458" i="10"/>
  <c r="AY463" i="10"/>
  <c r="AY462" i="10" s="1"/>
  <c r="AY465" i="10" s="1"/>
  <c r="AY457" i="10"/>
  <c r="AY460" i="10" s="1"/>
  <c r="U474" i="10"/>
  <c r="V473" i="10"/>
  <c r="V474" i="10" s="1"/>
  <c r="AY473" i="10"/>
  <c r="AX474" i="10"/>
  <c r="AZ467" i="10"/>
  <c r="AZ470" i="10" s="1"/>
  <c r="BA468" i="10"/>
  <c r="T480" i="10"/>
  <c r="V468" i="10"/>
  <c r="V467" i="10" s="1"/>
  <c r="V470" i="10" s="1"/>
  <c r="U467" i="10"/>
  <c r="U470" i="10" s="1"/>
  <c r="U480" i="10" l="1"/>
  <c r="V480" i="10" s="1"/>
  <c r="W480" i="10" s="1"/>
  <c r="X480" i="10" s="1"/>
  <c r="Y480" i="10" s="1"/>
  <c r="Z480" i="10" s="1"/>
  <c r="AA480" i="10" s="1"/>
  <c r="AB480" i="10" s="1"/>
  <c r="AC480" i="10" s="1"/>
  <c r="AD480" i="10" s="1"/>
  <c r="AE480" i="10" s="1"/>
  <c r="AF480" i="10" s="1"/>
  <c r="AG480" i="10" s="1"/>
  <c r="AH480" i="10" s="1"/>
  <c r="AI480" i="10" s="1"/>
  <c r="AJ480" i="10" s="1"/>
  <c r="AK480" i="10" s="1"/>
  <c r="AL480" i="10" s="1"/>
  <c r="AM480" i="10" s="1"/>
  <c r="AN480" i="10" s="1"/>
  <c r="AO480" i="10" s="1"/>
  <c r="AP480" i="10" s="1"/>
  <c r="AQ480" i="10" s="1"/>
  <c r="AR480" i="10" s="1"/>
  <c r="AS480" i="10" s="1"/>
  <c r="AT480" i="10" s="1"/>
  <c r="AU480" i="10" s="1"/>
  <c r="AV480" i="10" s="1"/>
  <c r="AW480" i="10" s="1"/>
  <c r="AX480" i="10" s="1"/>
  <c r="AY480" i="10" s="1"/>
  <c r="AA452" i="10"/>
  <c r="AB446" i="10"/>
  <c r="AA445" i="10"/>
  <c r="AA448" i="10" s="1"/>
  <c r="AA442" i="10"/>
  <c r="AA441" i="10" s="1"/>
  <c r="AA95" i="10"/>
  <c r="AA94" i="10" s="1"/>
  <c r="Z94" i="10"/>
  <c r="Z453" i="10" s="1"/>
  <c r="Z451" i="10" s="1"/>
  <c r="Z454" i="10" s="1"/>
  <c r="Y455" i="10"/>
  <c r="Y464" i="10"/>
  <c r="Y462" i="10" s="1"/>
  <c r="Y465" i="10" s="1"/>
  <c r="BA467" i="10"/>
  <c r="BA470" i="10" s="1"/>
  <c r="BB468" i="10"/>
  <c r="AZ463" i="10"/>
  <c r="AZ462" i="10" s="1"/>
  <c r="AZ465" i="10" s="1"/>
  <c r="BA458" i="10"/>
  <c r="AZ457" i="10"/>
  <c r="AZ460" i="10" s="1"/>
  <c r="AY474" i="10"/>
  <c r="AZ473" i="10"/>
  <c r="Y451" i="10"/>
  <c r="Z478" i="10"/>
  <c r="E110" i="10" l="1"/>
  <c r="AA453" i="10"/>
  <c r="AA451" i="10" s="1"/>
  <c r="AA454" i="10" s="1"/>
  <c r="C90" i="10"/>
  <c r="AB442" i="10"/>
  <c r="AB441" i="10" s="1"/>
  <c r="AC446" i="10"/>
  <c r="AB452" i="10"/>
  <c r="AB451" i="10" s="1"/>
  <c r="AB454" i="10" s="1"/>
  <c r="AB445" i="10"/>
  <c r="AB448" i="10" s="1"/>
  <c r="Z455" i="10"/>
  <c r="Z464" i="10"/>
  <c r="Z462" i="10" s="1"/>
  <c r="Z465" i="10" s="1"/>
  <c r="AA478" i="10"/>
  <c r="BA463" i="10"/>
  <c r="BA462" i="10" s="1"/>
  <c r="BA465" i="10" s="1"/>
  <c r="BA457" i="10"/>
  <c r="BA460" i="10" s="1"/>
  <c r="BB458" i="10"/>
  <c r="BB467" i="10"/>
  <c r="BB470" i="10" s="1"/>
  <c r="BC468" i="10"/>
  <c r="Y454" i="10"/>
  <c r="Y479" i="10"/>
  <c r="Z479" i="10" s="1"/>
  <c r="AZ474" i="10"/>
  <c r="BA473" i="10"/>
  <c r="AZ480" i="10"/>
  <c r="E284" i="10" l="1"/>
  <c r="E292" i="10" s="1"/>
  <c r="E114" i="10"/>
  <c r="E168" i="10"/>
  <c r="E172" i="10" s="1"/>
  <c r="G110" i="10"/>
  <c r="AA479" i="10"/>
  <c r="AB479" i="10" s="1"/>
  <c r="BC467" i="10"/>
  <c r="BC470" i="10" s="1"/>
  <c r="BD468" i="10"/>
  <c r="BA474" i="10"/>
  <c r="BB473" i="10"/>
  <c r="BA480" i="10"/>
  <c r="AD446" i="10"/>
  <c r="AC452" i="10"/>
  <c r="AC451" i="10" s="1"/>
  <c r="AC454" i="10" s="1"/>
  <c r="AC445" i="10"/>
  <c r="AC448" i="10" s="1"/>
  <c r="AC442" i="10"/>
  <c r="AC441" i="10" s="1"/>
  <c r="D168" i="10"/>
  <c r="D284" i="10"/>
  <c r="H110" i="10"/>
  <c r="D114" i="10"/>
  <c r="BC458" i="10"/>
  <c r="BB457" i="10"/>
  <c r="BB460" i="10" s="1"/>
  <c r="BB463" i="10"/>
  <c r="BB462" i="10" s="1"/>
  <c r="BB465" i="10" s="1"/>
  <c r="AB478" i="10"/>
  <c r="AA464" i="10"/>
  <c r="AA462" i="10" s="1"/>
  <c r="AA465" i="10" s="1"/>
  <c r="AA455" i="10"/>
  <c r="C413" i="10"/>
  <c r="C388" i="10" s="1"/>
  <c r="BB480" i="10" l="1"/>
  <c r="G114" i="10"/>
  <c r="E413" i="10"/>
  <c r="J221" i="10"/>
  <c r="K221" i="10" s="1"/>
  <c r="H114" i="10"/>
  <c r="AC478" i="10"/>
  <c r="C414" i="10"/>
  <c r="D388" i="10" s="1"/>
  <c r="C415" i="10"/>
  <c r="E388" i="10" s="1"/>
  <c r="H168" i="10"/>
  <c r="G168" i="10"/>
  <c r="D172" i="10"/>
  <c r="G172" i="10" s="1"/>
  <c r="BB474" i="10"/>
  <c r="BC473" i="10"/>
  <c r="BE468" i="10"/>
  <c r="BD467" i="10"/>
  <c r="BD470" i="10" s="1"/>
  <c r="AD445" i="10"/>
  <c r="AD448" i="10" s="1"/>
  <c r="AD452" i="10"/>
  <c r="AD451" i="10" s="1"/>
  <c r="AD454" i="10" s="1"/>
  <c r="AD442" i="10"/>
  <c r="AD441" i="10" s="1"/>
  <c r="AE446" i="10"/>
  <c r="H284" i="10"/>
  <c r="H292" i="10" s="1"/>
  <c r="D292" i="10"/>
  <c r="AC479" i="10"/>
  <c r="BC457" i="10"/>
  <c r="BC460" i="10" s="1"/>
  <c r="BC463" i="10"/>
  <c r="BC462" i="10" s="1"/>
  <c r="BC465" i="10" s="1"/>
  <c r="BD458" i="10"/>
  <c r="BC480" i="10" l="1"/>
  <c r="H172" i="10"/>
  <c r="E423" i="10"/>
  <c r="D252" i="10"/>
  <c r="D270" i="10" s="1"/>
  <c r="H270" i="10" s="1"/>
  <c r="I270" i="10" s="1"/>
  <c r="G284" i="10"/>
  <c r="G292" i="10" s="1"/>
  <c r="AD478" i="10"/>
  <c r="AD479" i="10"/>
  <c r="BE467" i="10"/>
  <c r="BE470" i="10" s="1"/>
  <c r="BF468" i="10"/>
  <c r="K290" i="10"/>
  <c r="K292" i="10"/>
  <c r="AE445" i="10"/>
  <c r="AE448" i="10" s="1"/>
  <c r="AE452" i="10"/>
  <c r="AE451" i="10" s="1"/>
  <c r="AE454" i="10" s="1"/>
  <c r="AE442" i="10"/>
  <c r="AE441" i="10" s="1"/>
  <c r="AF446" i="10"/>
  <c r="BC474" i="10"/>
  <c r="BD473" i="10"/>
  <c r="BD463" i="10"/>
  <c r="BD462" i="10" s="1"/>
  <c r="BD465" i="10" s="1"/>
  <c r="BE458" i="10"/>
  <c r="BD457" i="10"/>
  <c r="BD460" i="10" s="1"/>
  <c r="H252" i="10" l="1"/>
  <c r="I252" i="10" s="1"/>
  <c r="C252" i="10" s="1"/>
  <c r="C270" i="10" s="1"/>
  <c r="AE479" i="10"/>
  <c r="AE478" i="10"/>
  <c r="AF442" i="10"/>
  <c r="AF441" i="10" s="1"/>
  <c r="AF445" i="10"/>
  <c r="AF448" i="10" s="1"/>
  <c r="AG446" i="10"/>
  <c r="AF452" i="10"/>
  <c r="AF451" i="10" s="1"/>
  <c r="AF454" i="10" s="1"/>
  <c r="BG468" i="10"/>
  <c r="BF467" i="10"/>
  <c r="BF470" i="10" s="1"/>
  <c r="BF458" i="10"/>
  <c r="BE457" i="10"/>
  <c r="BE460" i="10" s="1"/>
  <c r="BE463" i="10"/>
  <c r="BE462" i="10" s="1"/>
  <c r="BE465" i="10" s="1"/>
  <c r="BE473" i="10"/>
  <c r="BD474" i="10"/>
  <c r="BD480" i="10"/>
  <c r="BE480" i="10" l="1"/>
  <c r="BH468" i="10"/>
  <c r="BG467" i="10"/>
  <c r="BG470" i="10" s="1"/>
  <c r="AG452" i="10"/>
  <c r="AG451" i="10" s="1"/>
  <c r="AG454" i="10" s="1"/>
  <c r="AG445" i="10"/>
  <c r="AG448" i="10" s="1"/>
  <c r="AG442" i="10"/>
  <c r="AG441" i="10" s="1"/>
  <c r="AH446" i="10"/>
  <c r="BE474" i="10"/>
  <c r="BF473" i="10"/>
  <c r="AF478" i="10"/>
  <c r="BF457" i="10"/>
  <c r="BF460" i="10" s="1"/>
  <c r="BG458" i="10"/>
  <c r="BF463" i="10"/>
  <c r="BF462" i="10" s="1"/>
  <c r="BF465" i="10" s="1"/>
  <c r="AF479" i="10"/>
  <c r="AG479" i="10" l="1"/>
  <c r="BF474" i="10"/>
  <c r="BG473" i="10"/>
  <c r="AH452" i="10"/>
  <c r="AH451" i="10" s="1"/>
  <c r="AH454" i="10" s="1"/>
  <c r="AI446" i="10"/>
  <c r="AH445" i="10"/>
  <c r="AH448" i="10" s="1"/>
  <c r="AH442" i="10"/>
  <c r="AH441" i="10" s="1"/>
  <c r="BH458" i="10"/>
  <c r="BG457" i="10"/>
  <c r="BG460" i="10" s="1"/>
  <c r="BG463" i="10"/>
  <c r="BG462" i="10" s="1"/>
  <c r="BG465" i="10" s="1"/>
  <c r="BF480" i="10"/>
  <c r="AG478" i="10"/>
  <c r="BH467" i="10"/>
  <c r="BH470" i="10" s="1"/>
  <c r="BI468" i="10"/>
  <c r="BG480" i="10" l="1"/>
  <c r="AH478" i="10"/>
  <c r="BH457" i="10"/>
  <c r="BH460" i="10" s="1"/>
  <c r="BH463" i="10"/>
  <c r="BH462" i="10" s="1"/>
  <c r="BH465" i="10" s="1"/>
  <c r="BI458" i="10"/>
  <c r="BJ468" i="10"/>
  <c r="BI467" i="10"/>
  <c r="BI470" i="10" s="1"/>
  <c r="AJ446" i="10"/>
  <c r="AI442" i="10"/>
  <c r="AI441" i="10" s="1"/>
  <c r="AI452" i="10"/>
  <c r="AI451" i="10" s="1"/>
  <c r="AI454" i="10" s="1"/>
  <c r="AI445" i="10"/>
  <c r="AI448" i="10" s="1"/>
  <c r="BH473" i="10"/>
  <c r="BG474" i="10"/>
  <c r="AH479" i="10"/>
  <c r="AI479" i="10" l="1"/>
  <c r="AI478" i="10"/>
  <c r="AJ442" i="10"/>
  <c r="AJ441" i="10" s="1"/>
  <c r="AK446" i="10"/>
  <c r="AJ452" i="10"/>
  <c r="AJ451" i="10" s="1"/>
  <c r="AJ454" i="10" s="1"/>
  <c r="AJ445" i="10"/>
  <c r="AJ448" i="10" s="1"/>
  <c r="BJ467" i="10"/>
  <c r="BJ470" i="10" s="1"/>
  <c r="BK468" i="10"/>
  <c r="BI473" i="10"/>
  <c r="BH474" i="10"/>
  <c r="BH480" i="10"/>
  <c r="BI463" i="10"/>
  <c r="BI462" i="10" s="1"/>
  <c r="BI465" i="10" s="1"/>
  <c r="BJ458" i="10"/>
  <c r="BI457" i="10"/>
  <c r="BI460" i="10" s="1"/>
  <c r="AJ479" i="10" l="1"/>
  <c r="AJ478" i="10"/>
  <c r="BI480" i="10"/>
  <c r="BJ463" i="10"/>
  <c r="BJ462" i="10" s="1"/>
  <c r="BJ465" i="10" s="1"/>
  <c r="BK458" i="10"/>
  <c r="BJ457" i="10"/>
  <c r="BJ460" i="10" s="1"/>
  <c r="AK452" i="10"/>
  <c r="AK451" i="10" s="1"/>
  <c r="AK454" i="10" s="1"/>
  <c r="AL446" i="10"/>
  <c r="AK445" i="10"/>
  <c r="AK448" i="10" s="1"/>
  <c r="AK442" i="10"/>
  <c r="AK441" i="10" s="1"/>
  <c r="BK467" i="10"/>
  <c r="BK470" i="10" s="1"/>
  <c r="BL468" i="10"/>
  <c r="BJ473" i="10"/>
  <c r="BI474" i="10"/>
  <c r="BJ474" i="10" l="1"/>
  <c r="BK473" i="10"/>
  <c r="AM446" i="10"/>
  <c r="AL452" i="10"/>
  <c r="AL451" i="10" s="1"/>
  <c r="AL454" i="10" s="1"/>
  <c r="AL445" i="10"/>
  <c r="AL448" i="10" s="1"/>
  <c r="AL442" i="10"/>
  <c r="AL441" i="10" s="1"/>
  <c r="AK479" i="10"/>
  <c r="BK457" i="10"/>
  <c r="BK460" i="10" s="1"/>
  <c r="BL458" i="10"/>
  <c r="BK463" i="10"/>
  <c r="BK462" i="10" s="1"/>
  <c r="BK465" i="10" s="1"/>
  <c r="BJ480" i="10"/>
  <c r="AK478" i="10"/>
  <c r="BM468" i="10"/>
  <c r="BL467" i="10"/>
  <c r="BL470" i="10" s="1"/>
  <c r="AL479" i="10" l="1"/>
  <c r="BK480" i="10"/>
  <c r="BN468" i="10"/>
  <c r="BM467" i="10"/>
  <c r="BM470" i="10" s="1"/>
  <c r="AL478" i="10"/>
  <c r="AM452" i="10"/>
  <c r="AM451" i="10" s="1"/>
  <c r="AM454" i="10" s="1"/>
  <c r="AM445" i="10"/>
  <c r="AM448" i="10" s="1"/>
  <c r="AN446" i="10"/>
  <c r="AM442" i="10"/>
  <c r="AM441" i="10" s="1"/>
  <c r="BL473" i="10"/>
  <c r="BK474" i="10"/>
  <c r="BL463" i="10"/>
  <c r="BL462" i="10" s="1"/>
  <c r="BL465" i="10" s="1"/>
  <c r="BM458" i="10"/>
  <c r="BL457" i="10"/>
  <c r="BL460" i="10" s="1"/>
  <c r="BL480" i="10" l="1"/>
  <c r="AN452" i="10"/>
  <c r="AN451" i="10" s="1"/>
  <c r="AN454" i="10" s="1"/>
  <c r="AN445" i="10"/>
  <c r="AN448" i="10" s="1"/>
  <c r="AN442" i="10"/>
  <c r="AN441" i="10" s="1"/>
  <c r="AO446" i="10"/>
  <c r="AM478" i="10"/>
  <c r="BM473" i="10"/>
  <c r="BL474" i="10"/>
  <c r="BN467" i="10"/>
  <c r="BN470" i="10" s="1"/>
  <c r="BO468" i="10"/>
  <c r="BM463" i="10"/>
  <c r="BM462" i="10" s="1"/>
  <c r="BM465" i="10" s="1"/>
  <c r="BN458" i="10"/>
  <c r="BM457" i="10"/>
  <c r="BM460" i="10" s="1"/>
  <c r="AM479" i="10"/>
  <c r="AN479" i="10" l="1"/>
  <c r="AN478" i="10"/>
  <c r="BN463" i="10"/>
  <c r="BN462" i="10" s="1"/>
  <c r="BN465" i="10" s="1"/>
  <c r="BN457" i="10"/>
  <c r="BN460" i="10" s="1"/>
  <c r="BO458" i="10"/>
  <c r="AO452" i="10"/>
  <c r="AO451" i="10" s="1"/>
  <c r="AO454" i="10" s="1"/>
  <c r="AO445" i="10"/>
  <c r="AO448" i="10" s="1"/>
  <c r="AO442" i="10"/>
  <c r="AO441" i="10" s="1"/>
  <c r="AP446" i="10"/>
  <c r="BN473" i="10"/>
  <c r="BM474" i="10"/>
  <c r="BM480" i="10"/>
  <c r="BO467" i="10"/>
  <c r="BO470" i="10" s="1"/>
  <c r="BP468" i="10"/>
  <c r="BN480" i="10" l="1"/>
  <c r="AO479" i="10"/>
  <c r="BP467" i="10"/>
  <c r="BP470" i="10" s="1"/>
  <c r="BQ468" i="10"/>
  <c r="BP458" i="10"/>
  <c r="BO457" i="10"/>
  <c r="BO460" i="10" s="1"/>
  <c r="BO463" i="10"/>
  <c r="BO462" i="10" s="1"/>
  <c r="BO465" i="10" s="1"/>
  <c r="BN474" i="10"/>
  <c r="BO473" i="10"/>
  <c r="AP452" i="10"/>
  <c r="AP451" i="10" s="1"/>
  <c r="AP454" i="10" s="1"/>
  <c r="AP442" i="10"/>
  <c r="AP441" i="10" s="1"/>
  <c r="AP445" i="10"/>
  <c r="AP448" i="10" s="1"/>
  <c r="AQ446" i="10"/>
  <c r="AO478" i="10"/>
  <c r="AP478" i="10" l="1"/>
  <c r="AR446" i="10"/>
  <c r="AQ445" i="10"/>
  <c r="AQ448" i="10" s="1"/>
  <c r="AQ442" i="10"/>
  <c r="AQ441" i="10" s="1"/>
  <c r="AQ452" i="10"/>
  <c r="AQ451" i="10" s="1"/>
  <c r="AQ454" i="10" s="1"/>
  <c r="BR468" i="10"/>
  <c r="BQ467" i="10"/>
  <c r="BQ470" i="10" s="1"/>
  <c r="AP479" i="10"/>
  <c r="BP457" i="10"/>
  <c r="BP460" i="10" s="1"/>
  <c r="BQ458" i="10"/>
  <c r="BP463" i="10"/>
  <c r="BP462" i="10" s="1"/>
  <c r="BP465" i="10" s="1"/>
  <c r="BO474" i="10"/>
  <c r="BP473" i="10"/>
  <c r="BO480" i="10"/>
  <c r="AQ479" i="10" l="1"/>
  <c r="BP474" i="10"/>
  <c r="BQ473" i="10"/>
  <c r="BP480" i="10"/>
  <c r="AR442" i="10"/>
  <c r="AR441" i="10" s="1"/>
  <c r="AS446" i="10"/>
  <c r="AR445" i="10"/>
  <c r="AR448" i="10" s="1"/>
  <c r="AR452" i="10"/>
  <c r="AR451" i="10" s="1"/>
  <c r="AR454" i="10" s="1"/>
  <c r="BS468" i="10"/>
  <c r="BR467" i="10"/>
  <c r="BR470" i="10" s="1"/>
  <c r="BR458" i="10"/>
  <c r="BQ463" i="10"/>
  <c r="BQ462" i="10" s="1"/>
  <c r="BQ465" i="10" s="1"/>
  <c r="BQ457" i="10"/>
  <c r="BQ460" i="10" s="1"/>
  <c r="AQ478" i="10"/>
  <c r="AR478" i="10" l="1"/>
  <c r="BR473" i="10"/>
  <c r="BQ474" i="10"/>
  <c r="AT446" i="10"/>
  <c r="AS445" i="10"/>
  <c r="AS448" i="10" s="1"/>
  <c r="AS442" i="10"/>
  <c r="AS441" i="10" s="1"/>
  <c r="AS452" i="10"/>
  <c r="AS451" i="10" s="1"/>
  <c r="AS454" i="10" s="1"/>
  <c r="BQ480" i="10"/>
  <c r="BR480" i="10" s="1"/>
  <c r="BR457" i="10"/>
  <c r="BR460" i="10" s="1"/>
  <c r="BR463" i="10"/>
  <c r="BR462" i="10" s="1"/>
  <c r="BR465" i="10" s="1"/>
  <c r="BS458" i="10"/>
  <c r="AR479" i="10"/>
  <c r="BT468" i="10"/>
  <c r="BS467" i="10"/>
  <c r="BS470" i="10" s="1"/>
  <c r="AU446" i="10" l="1"/>
  <c r="AT442" i="10"/>
  <c r="AT441" i="10" s="1"/>
  <c r="AT452" i="10"/>
  <c r="AT451" i="10" s="1"/>
  <c r="AT454" i="10" s="1"/>
  <c r="AT445" i="10"/>
  <c r="AT448" i="10" s="1"/>
  <c r="BU468" i="10"/>
  <c r="BT467" i="10"/>
  <c r="BT470" i="10" s="1"/>
  <c r="BR474" i="10"/>
  <c r="BS473" i="10"/>
  <c r="BS480" i="10" s="1"/>
  <c r="AS479" i="10"/>
  <c r="BS457" i="10"/>
  <c r="BS460" i="10" s="1"/>
  <c r="BS463" i="10"/>
  <c r="BS462" i="10" s="1"/>
  <c r="BS465" i="10" s="1"/>
  <c r="BT458" i="10"/>
  <c r="AS478" i="10"/>
  <c r="AT478" i="10" l="1"/>
  <c r="BT463" i="10"/>
  <c r="BT462" i="10" s="1"/>
  <c r="BT465" i="10" s="1"/>
  <c r="BT457" i="10"/>
  <c r="BT460" i="10" s="1"/>
  <c r="BU458" i="10"/>
  <c r="BV468" i="10"/>
  <c r="BU467" i="10"/>
  <c r="BU470" i="10" s="1"/>
  <c r="AT479" i="10"/>
  <c r="BS474" i="10"/>
  <c r="BT473" i="10"/>
  <c r="BT480" i="10" s="1"/>
  <c r="AU452" i="10"/>
  <c r="AU451" i="10" s="1"/>
  <c r="AU454" i="10" s="1"/>
  <c r="AV446" i="10"/>
  <c r="AU442" i="10"/>
  <c r="AU441" i="10" s="1"/>
  <c r="AU445" i="10"/>
  <c r="AU448" i="10" s="1"/>
  <c r="AU479" i="10" l="1"/>
  <c r="AV445" i="10"/>
  <c r="AV448" i="10" s="1"/>
  <c r="AV452" i="10"/>
  <c r="AV451" i="10" s="1"/>
  <c r="AV454" i="10" s="1"/>
  <c r="AW446" i="10"/>
  <c r="AV442" i="10"/>
  <c r="AV441" i="10" s="1"/>
  <c r="BV467" i="10"/>
  <c r="BV470" i="10" s="1"/>
  <c r="BW468" i="10"/>
  <c r="BU463" i="10"/>
  <c r="BU462" i="10" s="1"/>
  <c r="BU465" i="10" s="1"/>
  <c r="BV458" i="10"/>
  <c r="BU457" i="10"/>
  <c r="BU460" i="10" s="1"/>
  <c r="BU473" i="10"/>
  <c r="BT474" i="10"/>
  <c r="AU478" i="10"/>
  <c r="AV478" i="10" l="1"/>
  <c r="AV479" i="10"/>
  <c r="AW452" i="10"/>
  <c r="AW451" i="10" s="1"/>
  <c r="AW454" i="10" s="1"/>
  <c r="AW445" i="10"/>
  <c r="AW448" i="10" s="1"/>
  <c r="AX446" i="10"/>
  <c r="AW442" i="10"/>
  <c r="AW441" i="10" s="1"/>
  <c r="BX468" i="10"/>
  <c r="BW467" i="10"/>
  <c r="BW470" i="10" s="1"/>
  <c r="BU474" i="10"/>
  <c r="BV473" i="10"/>
  <c r="BV463" i="10"/>
  <c r="BV462" i="10" s="1"/>
  <c r="BV465" i="10" s="1"/>
  <c r="BW458" i="10"/>
  <c r="BV457" i="10"/>
  <c r="BV460" i="10" s="1"/>
  <c r="BU480" i="10"/>
  <c r="AW479" i="10" l="1"/>
  <c r="BV480" i="10"/>
  <c r="BX467" i="10"/>
  <c r="BX470" i="10" s="1"/>
  <c r="BY468" i="10"/>
  <c r="BY467" i="10" s="1"/>
  <c r="BX458" i="10"/>
  <c r="BW463" i="10"/>
  <c r="BW462" i="10" s="1"/>
  <c r="BW465" i="10" s="1"/>
  <c r="BW457" i="10"/>
  <c r="BW460" i="10" s="1"/>
  <c r="AX452" i="10"/>
  <c r="AX451" i="10" s="1"/>
  <c r="AX454" i="10" s="1"/>
  <c r="AX445" i="10"/>
  <c r="AX448" i="10" s="1"/>
  <c r="AX442" i="10"/>
  <c r="AX441" i="10" s="1"/>
  <c r="AY446" i="10"/>
  <c r="BW473" i="10"/>
  <c r="BV474" i="10"/>
  <c r="AW478" i="10"/>
  <c r="BW480" i="10" l="1"/>
  <c r="AX478" i="10"/>
  <c r="AY442" i="10"/>
  <c r="AY441" i="10" s="1"/>
  <c r="AY452" i="10"/>
  <c r="AY451" i="10" s="1"/>
  <c r="AY454" i="10" s="1"/>
  <c r="AZ446" i="10"/>
  <c r="AY445" i="10"/>
  <c r="AY448" i="10" s="1"/>
  <c r="BY470" i="10"/>
  <c r="C428" i="10"/>
  <c r="C391" i="10" s="1"/>
  <c r="BX457" i="10"/>
  <c r="BX460" i="10" s="1"/>
  <c r="BX463" i="10"/>
  <c r="BX462" i="10" s="1"/>
  <c r="BX465" i="10" s="1"/>
  <c r="BY458" i="10"/>
  <c r="BW474" i="10"/>
  <c r="BX473" i="10"/>
  <c r="AX479" i="10"/>
  <c r="AY479" i="10" l="1"/>
  <c r="BX474" i="10"/>
  <c r="BY473" i="10"/>
  <c r="AY478" i="10"/>
  <c r="C429" i="10"/>
  <c r="D391" i="10" s="1"/>
  <c r="C430" i="10"/>
  <c r="E391" i="10" s="1"/>
  <c r="AZ442" i="10"/>
  <c r="AZ441" i="10" s="1"/>
  <c r="AZ452" i="10"/>
  <c r="AZ451" i="10" s="1"/>
  <c r="AZ454" i="10" s="1"/>
  <c r="BA446" i="10"/>
  <c r="AZ445" i="10"/>
  <c r="AZ448" i="10" s="1"/>
  <c r="BY457" i="10"/>
  <c r="BY463" i="10"/>
  <c r="BY462" i="10" s="1"/>
  <c r="BX480" i="10"/>
  <c r="AZ478" i="10" l="1"/>
  <c r="BY480" i="10"/>
  <c r="BY460" i="10"/>
  <c r="C418" i="10"/>
  <c r="AZ479" i="10"/>
  <c r="BY465" i="10"/>
  <c r="C423" i="10"/>
  <c r="BY474" i="10"/>
  <c r="C433" i="10"/>
  <c r="C390" i="10" s="1"/>
  <c r="C393" i="10" s="1"/>
  <c r="BB446" i="10"/>
  <c r="BA452" i="10"/>
  <c r="BA451" i="10" s="1"/>
  <c r="BA454" i="10" s="1"/>
  <c r="BA445" i="10"/>
  <c r="BA448" i="10" s="1"/>
  <c r="BA442" i="10"/>
  <c r="BA441" i="10" s="1"/>
  <c r="BA479" i="10" l="1"/>
  <c r="C434" i="10"/>
  <c r="D390" i="10" s="1"/>
  <c r="D393" i="10" s="1"/>
  <c r="C435" i="10"/>
  <c r="E390" i="10" s="1"/>
  <c r="E393" i="10" s="1"/>
  <c r="C419" i="10"/>
  <c r="C420" i="10"/>
  <c r="C425" i="10"/>
  <c r="C424" i="10"/>
  <c r="BC446" i="10"/>
  <c r="BB452" i="10"/>
  <c r="BB451" i="10" s="1"/>
  <c r="BB454" i="10" s="1"/>
  <c r="BB445" i="10"/>
  <c r="BB448" i="10" s="1"/>
  <c r="BB442" i="10"/>
  <c r="BB441" i="10" s="1"/>
  <c r="BA478" i="10"/>
  <c r="BB478" i="10" l="1"/>
  <c r="BB479" i="10"/>
  <c r="BD446" i="10"/>
  <c r="BC452" i="10"/>
  <c r="BC451" i="10" s="1"/>
  <c r="BC454" i="10" s="1"/>
  <c r="BC445" i="10"/>
  <c r="BC448" i="10" s="1"/>
  <c r="BC442" i="10"/>
  <c r="BC441" i="10" s="1"/>
  <c r="BE446" i="10" l="1"/>
  <c r="BD445" i="10"/>
  <c r="BD448" i="10" s="1"/>
  <c r="BD442" i="10"/>
  <c r="BD441" i="10" s="1"/>
  <c r="BD452" i="10"/>
  <c r="BD451" i="10" s="1"/>
  <c r="BD454" i="10" s="1"/>
  <c r="BC479" i="10"/>
  <c r="BC478" i="10"/>
  <c r="BD478" i="10" l="1"/>
  <c r="BD479" i="10"/>
  <c r="BE452" i="10"/>
  <c r="BE451" i="10" s="1"/>
  <c r="BE454" i="10" s="1"/>
  <c r="BE445" i="10"/>
  <c r="BE448" i="10" s="1"/>
  <c r="BF446" i="10"/>
  <c r="BE442" i="10"/>
  <c r="BE441" i="10" s="1"/>
  <c r="BG446" i="10"/>
  <c r="BG452" i="10" l="1"/>
  <c r="BG451" i="10" s="1"/>
  <c r="BG454" i="10" s="1"/>
  <c r="BG445" i="10"/>
  <c r="BG448" i="10" s="1"/>
  <c r="BG442" i="10"/>
  <c r="BG441" i="10" s="1"/>
  <c r="BH446" i="10"/>
  <c r="BE479" i="10"/>
  <c r="BF452" i="10"/>
  <c r="BF451" i="10" s="1"/>
  <c r="BF454" i="10" s="1"/>
  <c r="BF445" i="10"/>
  <c r="BF448" i="10" s="1"/>
  <c r="BF442" i="10"/>
  <c r="BF441" i="10" s="1"/>
  <c r="BE478" i="10"/>
  <c r="BF479" i="10" l="1"/>
  <c r="BG479" i="10" s="1"/>
  <c r="BH442" i="10"/>
  <c r="BH441" i="10" s="1"/>
  <c r="BI446" i="10"/>
  <c r="BH452" i="10"/>
  <c r="BH451" i="10" s="1"/>
  <c r="BH454" i="10" s="1"/>
  <c r="BH445" i="10"/>
  <c r="BH448" i="10" s="1"/>
  <c r="BF478" i="10"/>
  <c r="BG478" i="10" s="1"/>
  <c r="BH478" i="10" l="1"/>
  <c r="BJ446" i="10"/>
  <c r="BI442" i="10"/>
  <c r="BI441" i="10" s="1"/>
  <c r="BI452" i="10"/>
  <c r="BI451" i="10" s="1"/>
  <c r="BI454" i="10" s="1"/>
  <c r="BI445" i="10"/>
  <c r="BI448" i="10" s="1"/>
  <c r="BH479" i="10"/>
  <c r="BI479" i="10" l="1"/>
  <c r="BJ452" i="10"/>
  <c r="BJ451" i="10" s="1"/>
  <c r="BJ454" i="10" s="1"/>
  <c r="BK446" i="10"/>
  <c r="BJ445" i="10"/>
  <c r="BJ448" i="10" s="1"/>
  <c r="BJ442" i="10"/>
  <c r="BJ441" i="10" s="1"/>
  <c r="BI478" i="10"/>
  <c r="BJ478" i="10" l="1"/>
  <c r="BK452" i="10"/>
  <c r="BK451" i="10" s="1"/>
  <c r="BK454" i="10" s="1"/>
  <c r="BL446" i="10"/>
  <c r="BK445" i="10"/>
  <c r="BK448" i="10" s="1"/>
  <c r="BK442" i="10"/>
  <c r="BK441" i="10" s="1"/>
  <c r="BJ479" i="10"/>
  <c r="BK479" i="10" l="1"/>
  <c r="BL452" i="10"/>
  <c r="BL451" i="10" s="1"/>
  <c r="BL454" i="10" s="1"/>
  <c r="BM446" i="10"/>
  <c r="BL445" i="10"/>
  <c r="BL448" i="10" s="1"/>
  <c r="BL442" i="10"/>
  <c r="BL441" i="10" s="1"/>
  <c r="BK478" i="10"/>
  <c r="BL478" i="10" l="1"/>
  <c r="BM452" i="10"/>
  <c r="BM451" i="10" s="1"/>
  <c r="BM454" i="10" s="1"/>
  <c r="BM445" i="10"/>
  <c r="BM448" i="10" s="1"/>
  <c r="BN446" i="10"/>
  <c r="BM442" i="10"/>
  <c r="BM441" i="10" s="1"/>
  <c r="BL479" i="10"/>
  <c r="BM479" i="10" l="1"/>
  <c r="BN452" i="10"/>
  <c r="BN451" i="10" s="1"/>
  <c r="BN454" i="10" s="1"/>
  <c r="BN445" i="10"/>
  <c r="BN448" i="10" s="1"/>
  <c r="BN442" i="10"/>
  <c r="BN441" i="10" s="1"/>
  <c r="BO446" i="10"/>
  <c r="BM478" i="10"/>
  <c r="BN478" i="10" l="1"/>
  <c r="BO445" i="10"/>
  <c r="BO448" i="10" s="1"/>
  <c r="BO442" i="10"/>
  <c r="BO441" i="10" s="1"/>
  <c r="BP446" i="10"/>
  <c r="BO452" i="10"/>
  <c r="BO451" i="10" s="1"/>
  <c r="BO454" i="10" s="1"/>
  <c r="BN479" i="10"/>
  <c r="BO479" i="10" l="1"/>
  <c r="BP442" i="10"/>
  <c r="BP441" i="10" s="1"/>
  <c r="BP445" i="10"/>
  <c r="BP448" i="10" s="1"/>
  <c r="BQ446" i="10"/>
  <c r="BP452" i="10"/>
  <c r="BP451" i="10" s="1"/>
  <c r="BP454" i="10" s="1"/>
  <c r="BO478" i="10"/>
  <c r="BP478" i="10" l="1"/>
  <c r="BQ452" i="10"/>
  <c r="BQ451" i="10" s="1"/>
  <c r="BQ454" i="10" s="1"/>
  <c r="BR446" i="10"/>
  <c r="BQ442" i="10"/>
  <c r="BQ441" i="10" s="1"/>
  <c r="BQ445" i="10"/>
  <c r="BQ448" i="10" s="1"/>
  <c r="BP479" i="10"/>
  <c r="BQ479" i="10" l="1"/>
  <c r="BR442" i="10"/>
  <c r="BR441" i="10" s="1"/>
  <c r="BR445" i="10"/>
  <c r="BR448" i="10" s="1"/>
  <c r="BS446" i="10"/>
  <c r="BR452" i="10"/>
  <c r="BR451" i="10" s="1"/>
  <c r="BR454" i="10" s="1"/>
  <c r="BQ478" i="10"/>
  <c r="BR478" i="10" s="1"/>
  <c r="BT446" i="10" l="1"/>
  <c r="BS442" i="10"/>
  <c r="BS441" i="10" s="1"/>
  <c r="BS452" i="10"/>
  <c r="BS451" i="10" s="1"/>
  <c r="BS454" i="10" s="1"/>
  <c r="BS445" i="10"/>
  <c r="BS448" i="10" s="1"/>
  <c r="BR479" i="10"/>
  <c r="BS479" i="10" l="1"/>
  <c r="BU446" i="10"/>
  <c r="BT452" i="10"/>
  <c r="BT451" i="10" s="1"/>
  <c r="BT454" i="10" s="1"/>
  <c r="BT442" i="10"/>
  <c r="BT441" i="10" s="1"/>
  <c r="BT445" i="10"/>
  <c r="BT448" i="10" s="1"/>
  <c r="BS478" i="10"/>
  <c r="BT478" i="10" l="1"/>
  <c r="BU452" i="10"/>
  <c r="BU451" i="10" s="1"/>
  <c r="BU454" i="10" s="1"/>
  <c r="BU445" i="10"/>
  <c r="BU448" i="10" s="1"/>
  <c r="BV446" i="10"/>
  <c r="BU442" i="10"/>
  <c r="BU441" i="10" s="1"/>
  <c r="BT479" i="10"/>
  <c r="BU478" i="10" l="1"/>
  <c r="BU479" i="10"/>
  <c r="BV452" i="10"/>
  <c r="BV451" i="10" s="1"/>
  <c r="BV454" i="10" s="1"/>
  <c r="BW446" i="10"/>
  <c r="BV445" i="10"/>
  <c r="BV448" i="10" s="1"/>
  <c r="BV442" i="10"/>
  <c r="BV441" i="10" s="1"/>
  <c r="BV479" i="10" l="1"/>
  <c r="BW452" i="10"/>
  <c r="BW451" i="10" s="1"/>
  <c r="BW454" i="10" s="1"/>
  <c r="BX446" i="10"/>
  <c r="BW445" i="10"/>
  <c r="BW448" i="10" s="1"/>
  <c r="BW442" i="10"/>
  <c r="BW441" i="10" s="1"/>
  <c r="BV478" i="10"/>
  <c r="BW478" i="10" l="1"/>
  <c r="BX442" i="10"/>
  <c r="BX441" i="10" s="1"/>
  <c r="BX452" i="10"/>
  <c r="BX451" i="10" s="1"/>
  <c r="BX454" i="10" s="1"/>
  <c r="BX445" i="10"/>
  <c r="BX448" i="10" s="1"/>
  <c r="BY446" i="10"/>
  <c r="BW479" i="10"/>
  <c r="BX479" i="10" l="1"/>
  <c r="BY452" i="10"/>
  <c r="BY451" i="10" s="1"/>
  <c r="BY454" i="10" s="1"/>
  <c r="BY445" i="10"/>
  <c r="BY448" i="10" s="1"/>
  <c r="BY442" i="10"/>
  <c r="BX478" i="10"/>
  <c r="BY478" i="10" l="1"/>
  <c r="BY441" i="10"/>
  <c r="C403" i="10"/>
  <c r="C386" i="10" s="1"/>
  <c r="BY479" i="10"/>
  <c r="C396" i="10" l="1"/>
  <c r="C395" i="10"/>
  <c r="C405" i="10"/>
  <c r="E386" i="10" s="1"/>
  <c r="C404" i="10"/>
  <c r="D386" i="10" s="1"/>
  <c r="D395" i="10" l="1"/>
  <c r="D396" i="10"/>
  <c r="E396" i="10"/>
  <c r="E39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tc={1C5B441A-324C-6247-A2A0-AB1F1F1EEB60}</author>
    <author>tc={151CA4D7-E99F-6A43-A9EC-B379B3266E9F}</author>
  </authors>
  <commentList>
    <comment ref="B92" authorId="0" shapeId="0" xr:uid="{1C5B441A-324C-6247-A2A0-AB1F1F1EEB6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Er 2025 korrekt år 1?</t>
      </text>
    </comment>
    <comment ref="B469" authorId="1" shapeId="0" xr:uid="{151CA4D7-E99F-6A43-A9EC-B379B3266E9F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Egentlig teknisk anlegg?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<sst xmlns="http://schemas.openxmlformats.org/spreadsheetml/2006/main" count="546" uniqueCount="278">
  <si>
    <t>Arealbruksendringer</t>
  </si>
  <si>
    <t>tonn CO2-ekv.</t>
  </si>
  <si>
    <t>Solcellepanel</t>
  </si>
  <si>
    <t>m2</t>
  </si>
  <si>
    <t>GWh</t>
  </si>
  <si>
    <t>kWh</t>
  </si>
  <si>
    <t>Nullalternativet</t>
  </si>
  <si>
    <t>Enhet</t>
  </si>
  <si>
    <t>Kilde</t>
  </si>
  <si>
    <t>Størrelse</t>
  </si>
  <si>
    <t>Solkraftverk</t>
  </si>
  <si>
    <t>Solcellpaneler</t>
  </si>
  <si>
    <t>Solcellepaneler</t>
  </si>
  <si>
    <t>Stk.</t>
  </si>
  <si>
    <t>Energeia AS</t>
  </si>
  <si>
    <t>Fraunhofer ISE (2021)</t>
  </si>
  <si>
    <t>Effekt per solcellepanel</t>
  </si>
  <si>
    <t>Installert effekt Seval skog</t>
  </si>
  <si>
    <t>Wp</t>
  </si>
  <si>
    <t>kW</t>
  </si>
  <si>
    <t>Areal per panel</t>
  </si>
  <si>
    <t>Totalt areal</t>
  </si>
  <si>
    <t>CO2 avtrykk per Solcellepanel (Kina)</t>
  </si>
  <si>
    <t>CO2 avtrykk per Solcellepanel (EU)</t>
  </si>
  <si>
    <t>kg Co2-ekv/m2</t>
  </si>
  <si>
    <t>30 år</t>
  </si>
  <si>
    <t>Miljødirektoratets bergegning av arealbruksendringer, datert 16/6/2023</t>
  </si>
  <si>
    <t>Utslipp Norsk og Europeisk kraftproduksjon</t>
  </si>
  <si>
    <t>Årlig kraftproduksjon</t>
  </si>
  <si>
    <t>Total kraftproduksjon</t>
  </si>
  <si>
    <t>År</t>
  </si>
  <si>
    <t>Norsk utslippsfaktor</t>
  </si>
  <si>
    <t>År 1</t>
  </si>
  <si>
    <t>EU utslippsfaktor</t>
  </si>
  <si>
    <t>gCO2/kWh</t>
  </si>
  <si>
    <t>EU - utslipp tonn CO2ekv</t>
  </si>
  <si>
    <t>Norge utslipp CO2 ekv</t>
  </si>
  <si>
    <t>EU årlig utslipp ifht. reduksjonssmål</t>
  </si>
  <si>
    <t>EU årlig reduksjon</t>
  </si>
  <si>
    <t>Norge</t>
  </si>
  <si>
    <t>EU</t>
  </si>
  <si>
    <t>År 2 - 20</t>
  </si>
  <si>
    <t>År 21 - 30</t>
  </si>
  <si>
    <t>År 31 - 75</t>
  </si>
  <si>
    <t>Areal</t>
  </si>
  <si>
    <t>Dekar</t>
  </si>
  <si>
    <t>Årlig CO2 fangst skog</t>
  </si>
  <si>
    <t>hektar</t>
  </si>
  <si>
    <t>Samlede klimagassutslipp solkraftverk</t>
  </si>
  <si>
    <t>Areal for solkraftverk</t>
  </si>
  <si>
    <t>Arealendring til solkraftverk år 1</t>
  </si>
  <si>
    <t>Kabonavtrykk solkraftverk</t>
  </si>
  <si>
    <t>CO2 avtrykk BOS (EU)</t>
  </si>
  <si>
    <t>CO2 avtrykk BOS (kina)</t>
  </si>
  <si>
    <t>Paneler</t>
  </si>
  <si>
    <t>BOS</t>
  </si>
  <si>
    <t>Kabonavtrykk solkraftverk komponenter</t>
  </si>
  <si>
    <t>Totalt karbonavtrykk</t>
  </si>
  <si>
    <t>t Co2-ekv</t>
  </si>
  <si>
    <t>Total kraftproduksjon 30 år</t>
  </si>
  <si>
    <t>Årlig karbonavtrykk kraftproduksjon</t>
  </si>
  <si>
    <t>Karbonavtrykk kraftproduksjon per kWh</t>
  </si>
  <si>
    <t>g Co2-ekv</t>
  </si>
  <si>
    <t>Karbonavtrykk etter produksjonsland</t>
  </si>
  <si>
    <t>Kina</t>
  </si>
  <si>
    <t>System komponenter</t>
  </si>
  <si>
    <t>Totalt</t>
  </si>
  <si>
    <t>Kilde: Fraunhofer ISE, 2021 &amp; 2022</t>
  </si>
  <si>
    <r>
      <t>kg CO</t>
    </r>
    <r>
      <rPr>
        <sz val="9"/>
        <color theme="1"/>
        <rFont val="Source Sans Pro"/>
      </rPr>
      <t>2</t>
    </r>
    <r>
      <rPr>
        <sz val="11"/>
        <color theme="1"/>
        <rFont val="Source Sans Pro"/>
      </rPr>
      <t xml:space="preserve"> per m2 solanlegg</t>
    </r>
  </si>
  <si>
    <t>Samlede utslipp i 30 år</t>
  </si>
  <si>
    <t>Totalt karbonavtrykk EU</t>
  </si>
  <si>
    <t>Totalt karbonavtrykk Kina</t>
  </si>
  <si>
    <t>Karbonavtrykk kraftproduksjon per kWh EU</t>
  </si>
  <si>
    <t>Karbonavtrykk kraftproduksjon per kWh Kina</t>
  </si>
  <si>
    <t>G/kW</t>
  </si>
  <si>
    <t>%</t>
  </si>
  <si>
    <t>m2/kw</t>
  </si>
  <si>
    <t>g/m2</t>
  </si>
  <si>
    <t>Effekt per m2</t>
  </si>
  <si>
    <t>Samlede utslipp skogdrift</t>
  </si>
  <si>
    <t>Kabonavtrykk batterisystem</t>
  </si>
  <si>
    <t>2.0MWH - 2HO</t>
  </si>
  <si>
    <t>200 KTL-H0</t>
  </si>
  <si>
    <t>kg Co2-ekv/unit</t>
  </si>
  <si>
    <t>Units</t>
  </si>
  <si>
    <t>Batterisystem</t>
  </si>
  <si>
    <t>t Co2-ekv/unit</t>
  </si>
  <si>
    <t>Systemkomponenter og arbeid</t>
  </si>
  <si>
    <t>Batterianlegg</t>
  </si>
  <si>
    <t>Klimagassutslipp teknisk anlegg</t>
  </si>
  <si>
    <t>Samlet utslipp klimagasser</t>
  </si>
  <si>
    <t>Totale utslipp beregnet</t>
  </si>
  <si>
    <t>Totale utslipp EU</t>
  </si>
  <si>
    <t>Totale utslipp Kina</t>
  </si>
  <si>
    <t>Utslipp per kWh</t>
  </si>
  <si>
    <t>Utslipp per kWh EU</t>
  </si>
  <si>
    <t>Utslipp per kWh Kina</t>
  </si>
  <si>
    <t>g Co2-ekv/kWh</t>
  </si>
  <si>
    <t>Beregninger av kostnad med utslipp av klimagasser</t>
  </si>
  <si>
    <t>Pris på CO2 utslipp skog- og arealbruk</t>
  </si>
  <si>
    <t>CO2 utslipp nullalternativ - norsk strøm</t>
  </si>
  <si>
    <t>Skogen</t>
  </si>
  <si>
    <t>Elektrisitet</t>
  </si>
  <si>
    <t>CO2 utslipp nullalternativ - europeisk strøm</t>
  </si>
  <si>
    <t>Beregning kostnad CO2 utslipp</t>
  </si>
  <si>
    <t>Kostnad nullalternativ norsk</t>
  </si>
  <si>
    <t>Kostnad nullalternativ utenlandsk</t>
  </si>
  <si>
    <t>Volum</t>
  </si>
  <si>
    <t>Bruttoverdi</t>
  </si>
  <si>
    <t>Nåverdi</t>
  </si>
  <si>
    <t>Kalkulasjonsrente</t>
  </si>
  <si>
    <t>CO2 kostnad</t>
  </si>
  <si>
    <t>t CO2</t>
  </si>
  <si>
    <t>NOK</t>
  </si>
  <si>
    <t>Areal endring</t>
  </si>
  <si>
    <t>Kostnad solkraftverk</t>
  </si>
  <si>
    <t>Akk. utslipp norsk energi &amp; skog</t>
  </si>
  <si>
    <t>Akk. utslipp EU energi &amp; skog</t>
  </si>
  <si>
    <t>Beregnet verdi av klimagassutslipp</t>
  </si>
  <si>
    <t>Nullalternativ norsk kraft</t>
  </si>
  <si>
    <t>Nullalternativ europeisk kraft</t>
  </si>
  <si>
    <t>Utslipp</t>
  </si>
  <si>
    <t>Brutto</t>
  </si>
  <si>
    <t>Verdier av utslipp (NOKm)</t>
  </si>
  <si>
    <t>Pris på CO2 (høyre akse)</t>
  </si>
  <si>
    <t>Utslippsfaktorer</t>
  </si>
  <si>
    <t>År 21 - 75</t>
  </si>
  <si>
    <t>Samlet 75 år</t>
  </si>
  <si>
    <t>Utslippsfaktorer ved arealbruksendringer per år</t>
  </si>
  <si>
    <t>i) kraftproduksjon Norge</t>
  </si>
  <si>
    <t>ii) kraftproduksjon EU</t>
  </si>
  <si>
    <t xml:space="preserve">Samlede utslipp norsk kraft &amp; skog </t>
  </si>
  <si>
    <t>Samlede utslipp EU kraft &amp; skog</t>
  </si>
  <si>
    <t>tCO2/hektar/år</t>
  </si>
  <si>
    <t>tCO2/hektar</t>
  </si>
  <si>
    <r>
      <t>Tonn CO</t>
    </r>
    <r>
      <rPr>
        <sz val="8"/>
        <color theme="1"/>
        <rFont val="Source Sans Pro"/>
      </rPr>
      <t>2ekv</t>
    </r>
  </si>
  <si>
    <r>
      <t>Tonn CO</t>
    </r>
    <r>
      <rPr>
        <sz val="9"/>
        <color theme="1"/>
        <rFont val="Source Sans Pro"/>
      </rPr>
      <t>2ekv/hektar/år</t>
    </r>
  </si>
  <si>
    <r>
      <t>Tonn CO</t>
    </r>
    <r>
      <rPr>
        <sz val="9"/>
        <color theme="1"/>
        <rFont val="Source Sans Pro"/>
      </rPr>
      <t>2ekv</t>
    </r>
  </si>
  <si>
    <t>Klimagassutslipp arealinngrep</t>
  </si>
  <si>
    <t>Samlet beregning av klimagassutslipp</t>
  </si>
  <si>
    <t>Klimagassutslipp nullalternativet</t>
  </si>
  <si>
    <t>Endring klimagassutslipp norsk kraft</t>
  </si>
  <si>
    <t>Endring klimagassutslipp EU kraft</t>
  </si>
  <si>
    <t>Samlede utslipp EU kraft</t>
  </si>
  <si>
    <t>Samlede utslipp norsk kraft</t>
  </si>
  <si>
    <t>Nullalternativ skogsdrift</t>
  </si>
  <si>
    <t>CO2 utslipp nullalternativ - norsk skog</t>
  </si>
  <si>
    <t>Kostnad nullalternativ skogdrift</t>
  </si>
  <si>
    <t>CO2 kostnad strøm</t>
  </si>
  <si>
    <t>Samlet 30 år</t>
  </si>
  <si>
    <t>Arealbeslag</t>
  </si>
  <si>
    <t>Klimagassutslipp solkraftverk</t>
  </si>
  <si>
    <t>gram</t>
  </si>
  <si>
    <t>g/kWh</t>
  </si>
  <si>
    <r>
      <t>CO</t>
    </r>
    <r>
      <rPr>
        <sz val="9"/>
        <color theme="1"/>
        <rFont val="Source Sans Pro"/>
      </rPr>
      <t>2ekv per kWh og i tonn</t>
    </r>
  </si>
  <si>
    <t>Klimagassutslipp solkraftverk inkludert batteri</t>
  </si>
  <si>
    <t>Kraftproduksjon Norge</t>
  </si>
  <si>
    <t>Kraftproduksjon EU</t>
  </si>
  <si>
    <t>*</t>
  </si>
  <si>
    <t>Hektar</t>
  </si>
  <si>
    <t>Areal skog, høy bonitet</t>
  </si>
  <si>
    <t>Areal skog, middels bonitet</t>
  </si>
  <si>
    <t>Arealbruksendring</t>
  </si>
  <si>
    <t>Dyrket mark</t>
  </si>
  <si>
    <t>Barskog, høy bonitet</t>
  </si>
  <si>
    <t>Barskog, middels bonitet</t>
  </si>
  <si>
    <t>Nullalternativ</t>
  </si>
  <si>
    <t>Utbygd areal</t>
  </si>
  <si>
    <t>Beite</t>
  </si>
  <si>
    <t>75 år</t>
  </si>
  <si>
    <t>Arealfordeling med utslippsfaktorer</t>
  </si>
  <si>
    <t>Beskrivelse</t>
  </si>
  <si>
    <t>Utbygd areal til beite</t>
  </si>
  <si>
    <t>Fra skog til beite</t>
  </si>
  <si>
    <t>Fra beite til utbygd areal</t>
  </si>
  <si>
    <t>Skog, middels bonitet</t>
  </si>
  <si>
    <t>Skog, høy bonitet</t>
  </si>
  <si>
    <t>Utslipp / opptak</t>
  </si>
  <si>
    <t>Fra utbygd areal til beite</t>
  </si>
  <si>
    <t xml:space="preserve">* </t>
  </si>
  <si>
    <t>Klimagassutslipp ved etablering av solkraftverk</t>
  </si>
  <si>
    <t>Areal som dyrkes til beite</t>
  </si>
  <si>
    <t>Fra skog, høy bonitet</t>
  </si>
  <si>
    <t>Fra skog, middels bonitet</t>
  </si>
  <si>
    <t>Fra utbygd areal til dyrket mark</t>
  </si>
  <si>
    <t>Skog</t>
  </si>
  <si>
    <t>Utslippsfaktorer &amp; Input</t>
  </si>
  <si>
    <t>Årlig CO2 fangst</t>
  </si>
  <si>
    <t>Skog, høy bonitet til beite</t>
  </si>
  <si>
    <t>Karbonfangst beite år 21 - 75</t>
  </si>
  <si>
    <t>Skog, middels bonitet til beite</t>
  </si>
  <si>
    <t>Utbygd areal til dyrket mark</t>
  </si>
  <si>
    <t>Beite til utbygd areal</t>
  </si>
  <si>
    <t>Utslipp utbygd areal år 1</t>
  </si>
  <si>
    <t>Utslipp utbygd areal år 2 - 20</t>
  </si>
  <si>
    <t>Utslipp utbygd areal år 21 - 75</t>
  </si>
  <si>
    <t>Årlig utslipp beite</t>
  </si>
  <si>
    <t>CO2 kostand solenergi</t>
  </si>
  <si>
    <t>Nullalternativ kraftproduksjon</t>
  </si>
  <si>
    <t>LCA-Input</t>
  </si>
  <si>
    <t>År  21 - 30</t>
  </si>
  <si>
    <t>Utslipp beite årlig</t>
  </si>
  <si>
    <t>Utslipp år 1 fra beite til bebygd areal</t>
  </si>
  <si>
    <t>Utslipp år 2 - 20 fra beite til bebygd areal</t>
  </si>
  <si>
    <t>Karbonfangst fra beite til bebygd areal år 21 - 75</t>
  </si>
  <si>
    <t>Barskog, lav bonitet</t>
  </si>
  <si>
    <t>Barskog, impendiment</t>
  </si>
  <si>
    <t>Skog, lav bonitet</t>
  </si>
  <si>
    <t>Skog, impediment bonitet</t>
  </si>
  <si>
    <t>Fra dyrket mark til utbygd areal</t>
  </si>
  <si>
    <t>Åpen fastmark (annen utmark)</t>
  </si>
  <si>
    <t>Fra annen utmark til utbygd areal</t>
  </si>
  <si>
    <t>n.a.</t>
  </si>
  <si>
    <t>Areal skog, lav bonitet</t>
  </si>
  <si>
    <t>Areal skog, impediment</t>
  </si>
  <si>
    <t>Seksjon 1</t>
  </si>
  <si>
    <t>Seksjon 2</t>
  </si>
  <si>
    <t>Annen utmark</t>
  </si>
  <si>
    <t>Fra skog, lav bonitet</t>
  </si>
  <si>
    <t>Fra skog, impediment</t>
  </si>
  <si>
    <t>Batteriområde</t>
  </si>
  <si>
    <t>Skog, impediment</t>
  </si>
  <si>
    <t>Kontroll, areal</t>
  </si>
  <si>
    <t>Skogsdrift og landbruksvirksomhet Gunnhus</t>
  </si>
  <si>
    <t>Skog, lav bonitet til beite</t>
  </si>
  <si>
    <t>Skog, impediment bonitet til beite</t>
  </si>
  <si>
    <t>Beite år 21 - 30</t>
  </si>
  <si>
    <t>Beite år 31 - 75</t>
  </si>
  <si>
    <t/>
  </si>
  <si>
    <t>Fra annen utmark til beite</t>
  </si>
  <si>
    <t>Teknisk infrastruktur seksjon 1 - fra beite til utbygd areal</t>
  </si>
  <si>
    <t>Teknisk infrastruktur seksjon 2 - fra dyrket mark til utbygd areal</t>
  </si>
  <si>
    <t>Solkraftverk, til utbygd areal</t>
  </si>
  <si>
    <t>Klimagassutslipp fra arealendring av 5 daa</t>
  </si>
  <si>
    <t>Arealendring til utbygd areal år 2 - 20</t>
  </si>
  <si>
    <t>Tilbakeføring til beite og dyrket mark år 31 - 75</t>
  </si>
  <si>
    <t>Kabonavtrykk solkraftverk Gunnhus</t>
  </si>
  <si>
    <t>Dyrket mark til utbygd areal</t>
  </si>
  <si>
    <t>Utslipp beite år 1</t>
  </si>
  <si>
    <t>Utslipp beite år 2 - 20</t>
  </si>
  <si>
    <t>Utslipp beite år 21 - 75</t>
  </si>
  <si>
    <t>Utslipp dyrket mark år 1</t>
  </si>
  <si>
    <t>Utslipp dyrket mark år 2 - 20</t>
  </si>
  <si>
    <t>Utslipp dyrket mark år 21 - 75</t>
  </si>
  <si>
    <t>Utslipp dyrket mark årlig</t>
  </si>
  <si>
    <t>Endring klimagassutslipp mot norsk kraft</t>
  </si>
  <si>
    <t>Endring klimagassutslipp mot europeisk kraft</t>
  </si>
  <si>
    <t>Nullaternativ skogsdrift</t>
  </si>
  <si>
    <t>Samlede utslipp nullalternativ</t>
  </si>
  <si>
    <t>Klimagassutslipp utbygd areal år 21 - 30</t>
  </si>
  <si>
    <t>Oppsummering klimagassutslipp for Gunnhus solkraftverk over 30 år</t>
  </si>
  <si>
    <t>Gunnhus solkraftverk</t>
  </si>
  <si>
    <t>Klimagassutslipp teknisk anlegg og konstruksjon med solcellepaneler produsert i Kina</t>
  </si>
  <si>
    <t>Klimagassutslipp i nullalternativet ca. 100 dekar</t>
  </si>
  <si>
    <t>Tilrettelegging for beite år 1</t>
  </si>
  <si>
    <t>Tilrettelegging for beite år 2 - 20</t>
  </si>
  <si>
    <t>Tilrettelegging for beite &amp; solkraftverk</t>
  </si>
  <si>
    <t>Tilrettelegging for beite</t>
  </si>
  <si>
    <t>Klimagassutslipp ved tilrettelegging for beite på 80 daa.</t>
  </si>
  <si>
    <t>Kostnad netto tilrettelegging for beite</t>
  </si>
  <si>
    <t>CO2 tilrettelegging for beite - norsk strøm</t>
  </si>
  <si>
    <t>CO2 tilrettelegging for beite - utenlandsk strøm</t>
  </si>
  <si>
    <t>CO2 Tilrettelegging for beite</t>
  </si>
  <si>
    <t>Akk. utslipp solkraftverk &amp; tilrettelegging for beite</t>
  </si>
  <si>
    <t>Netto tilrettelegging for beite</t>
  </si>
  <si>
    <t>Kostnad tilrettelegging for beite utenlansk</t>
  </si>
  <si>
    <t>Kostnad tilrettelegging for beite norsk</t>
  </si>
  <si>
    <t>Utslipp tilrettelegging for beite år 1</t>
  </si>
  <si>
    <t>Utslipp tilrettelegging for beite år 2 - 20</t>
  </si>
  <si>
    <t>Klimagassutslipp solkraftverk inkludert batteri &amp; tilrettelegging for beite</t>
  </si>
  <si>
    <t>tilrettelegging for beite (for planområde solkraftverk)</t>
  </si>
  <si>
    <t>Klimagassutslipp tilrettelegging for beite 80 daa.</t>
  </si>
  <si>
    <t>Klimagassberegninger for Gunnhus  2025 - tilrettelegging for beite og solkraftverk</t>
  </si>
  <si>
    <t>Samlede klimagassutslipp tilrettelegging for beite</t>
  </si>
  <si>
    <t>Endring klimagassutslipp tilrettelegging for beite</t>
  </si>
  <si>
    <t>Samlede utslipp norsk kraft &amp; tilrettelegging for beite</t>
  </si>
  <si>
    <t>Samlede utslipp EU kraft &amp; tilrettelegging for beite</t>
  </si>
  <si>
    <t xml:space="preserve">Klimagassutslipp solkraftverk &amp; tilrettelegging for beite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</si>
</sst>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#,##0_ ;[Red]\-#,##0\ "/>
    <numFmt numFmtId="166" formatCode="#,##0.000_ ;[Red]\-#,##0.000\ "/>
    <numFmt numFmtId="167" formatCode="#,##0.0_ ;[Red]\-#,##0.0\ "/>
    <numFmt numFmtId="168" formatCode="#,##0.00_ ;[Red]\-#,##0.00\ "/>
    <numFmt numFmtId="169" formatCode="0.0%"/>
    <numFmt numFmtId="170" formatCode="_-* #,##0.0000_-;\-* #,##0.0000_-;_-* &quot;-&quot;??_-;_-@_-"/>
    <numFmt numFmtId="171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Source Sans Pro"/>
    </font>
    <font>
      <sz val="16"/>
      <color theme="0"/>
      <name val="Source Sans Pro"/>
    </font>
    <font>
      <sz val="11"/>
      <color theme="1"/>
      <name val="Source Sans Pro"/>
    </font>
    <font>
      <b/>
      <sz val="14"/>
      <color rgb="FF002060"/>
      <name val="Source Sans Pro"/>
    </font>
    <font>
      <sz val="11"/>
      <color rgb="FF002060"/>
      <name val="Source Sans Pro"/>
    </font>
    <font>
      <b/>
      <sz val="11"/>
      <color theme="1"/>
      <name val="Source Sans Pro"/>
    </font>
    <font>
      <i/>
      <sz val="11"/>
      <color theme="1"/>
      <name val="Source Sans Pro"/>
    </font>
    <font>
      <b/>
      <sz val="12"/>
      <color rgb="FF002060"/>
      <name val="Source Sans Pro"/>
    </font>
    <font>
      <b/>
      <sz val="11"/>
      <color rgb="FF002060"/>
      <name val="Source Sans Pro"/>
    </font>
    <font>
      <sz val="10"/>
      <color theme="1"/>
      <name val="Source Sans Pro"/>
    </font>
    <font>
      <sz val="9"/>
      <color theme="1"/>
      <name val="Source Sans Pro"/>
    </font>
    <font>
      <b/>
      <i/>
      <sz val="11"/>
      <color theme="1"/>
      <name val="Source Sans Pro"/>
    </font>
    <font>
      <sz val="12"/>
      <color rgb="FF002060"/>
      <name val="Source Sans Pro"/>
    </font>
    <font>
      <sz val="11"/>
      <color theme="0"/>
      <name val="Source Sans Pro"/>
    </font>
    <font>
      <sz val="8"/>
      <color theme="1"/>
      <name val="Source Sans Pro"/>
    </font>
    <font>
      <sz val="11"/>
      <color theme="1"/>
      <name val="Source Sans Pro Semibold"/>
    </font>
    <font>
      <i/>
      <sz val="11"/>
      <color theme="1"/>
      <name val="Source Sans Pro Semibold"/>
    </font>
    <font>
      <b/>
      <sz val="11"/>
      <color theme="4"/>
      <name val="Source Sans Pro"/>
    </font>
    <font>
      <sz val="11"/>
      <color theme="4"/>
      <name val="Source Sans Pro"/>
    </font>
    <font>
      <b/>
      <sz val="11"/>
      <name val="Source Sans Pro"/>
    </font>
    <font>
      <sz val="11"/>
      <color theme="1" tint="0.499984740745262"/>
      <name val="Source Sans Pro"/>
    </font>
    <font>
      <sz val="11"/>
      <color theme="0" tint="-0.499984740745262"/>
      <name val="Source Sans Pro"/>
    </font>
    <font>
      <sz val="11"/>
      <name val="Source Sans Pro"/>
    </font>
    <font>
      <b/>
      <sz val="11"/>
      <color theme="1"/>
      <name val="Source Sans Pro Semibold"/>
    </font>
    <font>
      <i/>
      <sz val="11"/>
      <color theme="1" tint="0.499984740745262"/>
      <name val="Source Sans Pro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/>
      <top/>
      <bottom style="medium">
        <color theme="3" tint="0.79998168889431442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rgb="FF002060"/>
      </left>
      <right/>
      <top/>
      <bottom style="thin">
        <color rgb="FF002060"/>
      </bottom>
      <diagonal/>
    </border>
    <border>
      <left style="dotted">
        <color rgb="FF002060"/>
      </left>
      <right/>
      <top/>
      <bottom/>
      <diagonal/>
    </border>
    <border>
      <left style="dotted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theme="4"/>
      </bottom>
      <diagonal/>
    </border>
    <border>
      <left style="dotted">
        <color indexed="64"/>
      </left>
      <right/>
      <top/>
      <bottom style="hair">
        <color theme="4"/>
      </bottom>
      <diagonal/>
    </border>
    <border>
      <left/>
      <right/>
      <top/>
      <bottom style="thin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theme="1"/>
      </right>
      <top/>
      <bottom style="dotted">
        <color indexed="64"/>
      </bottom>
      <diagonal/>
    </border>
    <border>
      <left/>
      <right/>
      <top/>
      <bottom style="dotted">
        <color theme="4"/>
      </bottom>
      <diagonal/>
    </border>
    <border>
      <left style="dotted">
        <color indexed="64"/>
      </left>
      <right/>
      <top/>
      <bottom style="dotted">
        <color theme="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/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4" fillId="4" borderId="0" xfId="0" applyFont="1" applyFill="1"/>
    <xf numFmtId="165" fontId="4" fillId="0" borderId="0" xfId="0" applyNumberFormat="1" applyFont="1"/>
    <xf numFmtId="166" fontId="4" fillId="0" borderId="0" xfId="1" applyNumberFormat="1" applyFont="1"/>
    <xf numFmtId="165" fontId="4" fillId="2" borderId="0" xfId="0" applyNumberFormat="1" applyFont="1" applyFill="1" applyAlignment="1">
      <alignment horizontal="right"/>
    </xf>
    <xf numFmtId="0" fontId="8" fillId="0" borderId="2" xfId="0" applyFont="1" applyBorder="1"/>
    <xf numFmtId="165" fontId="8" fillId="0" borderId="2" xfId="0" applyNumberFormat="1" applyFont="1" applyBorder="1" applyAlignment="1">
      <alignment horizontal="right"/>
    </xf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11" fillId="0" borderId="0" xfId="0" applyFont="1" applyAlignment="1">
      <alignment horizontal="left" indent="1"/>
    </xf>
    <xf numFmtId="0" fontId="12" fillId="0" borderId="0" xfId="0" applyFont="1"/>
    <xf numFmtId="0" fontId="13" fillId="0" borderId="0" xfId="0" applyFont="1"/>
    <xf numFmtId="165" fontId="4" fillId="0" borderId="0" xfId="1" applyNumberFormat="1" applyFont="1"/>
    <xf numFmtId="0" fontId="12" fillId="0" borderId="0" xfId="0" applyFont="1" applyAlignment="1">
      <alignment horizontal="left" indent="1"/>
    </xf>
    <xf numFmtId="168" fontId="4" fillId="0" borderId="0" xfId="1" applyNumberFormat="1" applyFont="1"/>
    <xf numFmtId="164" fontId="4" fillId="0" borderId="0" xfId="1" applyFont="1"/>
    <xf numFmtId="0" fontId="14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7" fillId="0" borderId="0" xfId="0" applyFont="1"/>
    <xf numFmtId="0" fontId="15" fillId="7" borderId="0" xfId="0" applyFont="1" applyFill="1"/>
    <xf numFmtId="0" fontId="4" fillId="5" borderId="0" xfId="0" applyFont="1" applyFill="1"/>
    <xf numFmtId="0" fontId="4" fillId="6" borderId="0" xfId="0" applyFont="1" applyFill="1"/>
    <xf numFmtId="2" fontId="4" fillId="0" borderId="0" xfId="0" applyNumberFormat="1" applyFont="1"/>
    <xf numFmtId="169" fontId="4" fillId="0" borderId="0" xfId="2" applyNumberFormat="1" applyFont="1"/>
    <xf numFmtId="167" fontId="4" fillId="0" borderId="0" xfId="0" applyNumberFormat="1" applyFont="1"/>
    <xf numFmtId="165" fontId="11" fillId="0" borderId="0" xfId="0" applyNumberFormat="1" applyFont="1"/>
    <xf numFmtId="165" fontId="16" fillId="0" borderId="0" xfId="0" applyNumberFormat="1" applyFont="1"/>
    <xf numFmtId="168" fontId="4" fillId="0" borderId="0" xfId="0" applyNumberFormat="1" applyFont="1"/>
    <xf numFmtId="0" fontId="7" fillId="0" borderId="4" xfId="0" applyFont="1" applyBorder="1"/>
    <xf numFmtId="165" fontId="7" fillId="0" borderId="4" xfId="0" applyNumberFormat="1" applyFont="1" applyBorder="1"/>
    <xf numFmtId="0" fontId="4" fillId="8" borderId="0" xfId="0" applyFont="1" applyFill="1"/>
    <xf numFmtId="165" fontId="4" fillId="8" borderId="0" xfId="0" applyNumberFormat="1" applyFont="1" applyFill="1"/>
    <xf numFmtId="169" fontId="10" fillId="4" borderId="0" xfId="0" applyNumberFormat="1" applyFont="1" applyFill="1"/>
    <xf numFmtId="165" fontId="4" fillId="2" borderId="0" xfId="0" applyNumberFormat="1" applyFont="1" applyFill="1"/>
    <xf numFmtId="165" fontId="4" fillId="9" borderId="0" xfId="0" applyNumberFormat="1" applyFont="1" applyFill="1"/>
    <xf numFmtId="165" fontId="13" fillId="4" borderId="0" xfId="0" applyNumberFormat="1" applyFont="1" applyFill="1" applyAlignment="1">
      <alignment horizontal="right"/>
    </xf>
    <xf numFmtId="167" fontId="4" fillId="0" borderId="0" xfId="0" applyNumberFormat="1" applyFont="1" applyAlignment="1">
      <alignment horizontal="right"/>
    </xf>
    <xf numFmtId="0" fontId="8" fillId="0" borderId="0" xfId="0" applyFont="1"/>
    <xf numFmtId="10" fontId="4" fillId="0" borderId="0" xfId="2" applyNumberFormat="1" applyFont="1"/>
    <xf numFmtId="170" fontId="4" fillId="0" borderId="0" xfId="1" applyNumberFormat="1" applyFont="1"/>
    <xf numFmtId="0" fontId="4" fillId="4" borderId="0" xfId="0" applyFont="1" applyFill="1" applyAlignment="1">
      <alignment horizontal="right"/>
    </xf>
    <xf numFmtId="168" fontId="4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right"/>
    </xf>
    <xf numFmtId="9" fontId="4" fillId="0" borderId="0" xfId="2" applyFont="1" applyAlignment="1">
      <alignment horizontal="right"/>
    </xf>
    <xf numFmtId="0" fontId="17" fillId="4" borderId="0" xfId="0" applyFont="1" applyFill="1"/>
    <xf numFmtId="165" fontId="4" fillId="2" borderId="1" xfId="0" applyNumberFormat="1" applyFont="1" applyFill="1" applyBorder="1" applyAlignment="1">
      <alignment horizontal="right"/>
    </xf>
    <xf numFmtId="0" fontId="17" fillId="2" borderId="0" xfId="0" applyFont="1" applyFill="1"/>
    <xf numFmtId="0" fontId="17" fillId="0" borderId="0" xfId="0" applyFont="1"/>
    <xf numFmtId="0" fontId="17" fillId="2" borderId="1" xfId="0" applyFont="1" applyFill="1" applyBorder="1"/>
    <xf numFmtId="0" fontId="17" fillId="4" borderId="0" xfId="0" applyFont="1" applyFill="1" applyAlignment="1">
      <alignment horizontal="right"/>
    </xf>
    <xf numFmtId="165" fontId="17" fillId="0" borderId="0" xfId="0" applyNumberFormat="1" applyFont="1" applyAlignment="1">
      <alignment horizontal="right"/>
    </xf>
    <xf numFmtId="165" fontId="17" fillId="2" borderId="1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right"/>
    </xf>
    <xf numFmtId="165" fontId="18" fillId="0" borderId="2" xfId="0" applyNumberFormat="1" applyFont="1" applyBorder="1" applyAlignment="1">
      <alignment horizontal="right"/>
    </xf>
    <xf numFmtId="0" fontId="17" fillId="10" borderId="1" xfId="0" applyFont="1" applyFill="1" applyBorder="1"/>
    <xf numFmtId="165" fontId="17" fillId="10" borderId="1" xfId="0" applyNumberFormat="1" applyFont="1" applyFill="1" applyBorder="1" applyAlignment="1">
      <alignment horizontal="right"/>
    </xf>
    <xf numFmtId="167" fontId="17" fillId="10" borderId="1" xfId="0" applyNumberFormat="1" applyFont="1" applyFill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8" fontId="7" fillId="0" borderId="6" xfId="0" applyNumberFormat="1" applyFont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right"/>
    </xf>
    <xf numFmtId="165" fontId="17" fillId="0" borderId="9" xfId="0" applyNumberFormat="1" applyFont="1" applyBorder="1" applyAlignment="1">
      <alignment horizontal="right"/>
    </xf>
    <xf numFmtId="165" fontId="17" fillId="2" borderId="8" xfId="0" applyNumberFormat="1" applyFont="1" applyFill="1" applyBorder="1" applyAlignment="1">
      <alignment horizontal="right"/>
    </xf>
    <xf numFmtId="165" fontId="17" fillId="2" borderId="9" xfId="0" applyNumberFormat="1" applyFont="1" applyFill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167" fontId="8" fillId="0" borderId="2" xfId="0" applyNumberFormat="1" applyFont="1" applyBorder="1" applyAlignment="1">
      <alignment horizontal="right"/>
    </xf>
    <xf numFmtId="167" fontId="17" fillId="2" borderId="0" xfId="0" applyNumberFormat="1" applyFont="1" applyFill="1" applyAlignment="1">
      <alignment horizontal="right"/>
    </xf>
    <xf numFmtId="16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2" borderId="0" xfId="0" applyFont="1" applyFill="1"/>
    <xf numFmtId="167" fontId="8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0" fontId="4" fillId="11" borderId="0" xfId="0" applyFont="1" applyFill="1"/>
    <xf numFmtId="168" fontId="19" fillId="0" borderId="0" xfId="0" applyNumberFormat="1" applyFont="1" applyAlignment="1">
      <alignment horizontal="right"/>
    </xf>
    <xf numFmtId="168" fontId="19" fillId="0" borderId="6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right"/>
    </xf>
    <xf numFmtId="0" fontId="21" fillId="0" borderId="0" xfId="0" applyFont="1"/>
    <xf numFmtId="0" fontId="20" fillId="0" borderId="0" xfId="0" applyFont="1"/>
    <xf numFmtId="0" fontId="22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71" fontId="4" fillId="0" borderId="0" xfId="0" applyNumberFormat="1" applyFont="1" applyAlignment="1">
      <alignment horizontal="right"/>
    </xf>
    <xf numFmtId="171" fontId="4" fillId="0" borderId="0" xfId="0" applyNumberFormat="1" applyFont="1"/>
    <xf numFmtId="0" fontId="23" fillId="0" borderId="0" xfId="0" applyFont="1"/>
    <xf numFmtId="168" fontId="20" fillId="0" borderId="4" xfId="0" applyNumberFormat="1" applyFont="1" applyBorder="1" applyAlignment="1">
      <alignment horizontal="right"/>
    </xf>
    <xf numFmtId="168" fontId="19" fillId="0" borderId="4" xfId="0" applyNumberFormat="1" applyFont="1" applyBorder="1" applyAlignment="1">
      <alignment horizontal="right"/>
    </xf>
    <xf numFmtId="0" fontId="20" fillId="0" borderId="4" xfId="0" applyFont="1" applyBorder="1"/>
    <xf numFmtId="168" fontId="4" fillId="0" borderId="0" xfId="0" applyNumberFormat="1" applyFont="1" applyAlignment="1">
      <alignment horizontal="left"/>
    </xf>
    <xf numFmtId="0" fontId="24" fillId="0" borderId="0" xfId="0" applyFont="1" applyAlignment="1">
      <alignment horizontal="left" indent="1"/>
    </xf>
    <xf numFmtId="168" fontId="21" fillId="0" borderId="6" xfId="0" applyNumberFormat="1" applyFont="1" applyBorder="1" applyAlignment="1">
      <alignment horizontal="right"/>
    </xf>
    <xf numFmtId="168" fontId="21" fillId="0" borderId="0" xfId="0" applyNumberFormat="1" applyFont="1" applyAlignment="1">
      <alignment horizontal="right"/>
    </xf>
    <xf numFmtId="0" fontId="21" fillId="0" borderId="13" xfId="0" applyFont="1" applyBorder="1"/>
    <xf numFmtId="168" fontId="4" fillId="0" borderId="13" xfId="0" applyNumberFormat="1" applyFont="1" applyBorder="1" applyAlignment="1">
      <alignment horizontal="right"/>
    </xf>
    <xf numFmtId="168" fontId="21" fillId="0" borderId="13" xfId="0" applyNumberFormat="1" applyFont="1" applyBorder="1" applyAlignment="1">
      <alignment horizontal="right"/>
    </xf>
    <xf numFmtId="168" fontId="4" fillId="0" borderId="14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171" fontId="4" fillId="0" borderId="15" xfId="0" applyNumberFormat="1" applyFont="1" applyBorder="1" applyAlignment="1">
      <alignment horizontal="right"/>
    </xf>
    <xf numFmtId="171" fontId="4" fillId="0" borderId="15" xfId="0" applyNumberFormat="1" applyFont="1" applyBorder="1"/>
    <xf numFmtId="168" fontId="4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4" fillId="2" borderId="0" xfId="1" applyNumberFormat="1" applyFont="1" applyFill="1"/>
    <xf numFmtId="168" fontId="4" fillId="0" borderId="7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/>
    </xf>
    <xf numFmtId="168" fontId="19" fillId="0" borderId="5" xfId="0" applyNumberFormat="1" applyFont="1" applyBorder="1" applyAlignment="1">
      <alignment horizontal="right"/>
    </xf>
    <xf numFmtId="0" fontId="7" fillId="0" borderId="16" xfId="0" applyFont="1" applyBorder="1"/>
    <xf numFmtId="0" fontId="4" fillId="0" borderId="16" xfId="0" applyFont="1" applyBorder="1"/>
    <xf numFmtId="168" fontId="7" fillId="0" borderId="16" xfId="0" applyNumberFormat="1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168" fontId="4" fillId="0" borderId="16" xfId="0" applyNumberFormat="1" applyFont="1" applyBorder="1" applyAlignment="1">
      <alignment horizontal="left"/>
    </xf>
    <xf numFmtId="168" fontId="7" fillId="0" borderId="17" xfId="0" applyNumberFormat="1" applyFont="1" applyBorder="1" applyAlignment="1">
      <alignment horizontal="right"/>
    </xf>
    <xf numFmtId="2" fontId="7" fillId="0" borderId="17" xfId="0" applyNumberFormat="1" applyFont="1" applyBorder="1" applyAlignment="1">
      <alignment horizontal="right"/>
    </xf>
    <xf numFmtId="165" fontId="7" fillId="0" borderId="16" xfId="0" applyNumberFormat="1" applyFont="1" applyBorder="1" applyAlignment="1">
      <alignment horizontal="right"/>
    </xf>
    <xf numFmtId="0" fontId="24" fillId="0" borderId="0" xfId="0" applyFont="1"/>
    <xf numFmtId="165" fontId="4" fillId="4" borderId="0" xfId="0" applyNumberFormat="1" applyFont="1" applyFill="1"/>
    <xf numFmtId="168" fontId="4" fillId="4" borderId="0" xfId="0" applyNumberFormat="1" applyFont="1" applyFill="1"/>
    <xf numFmtId="166" fontId="4" fillId="4" borderId="0" xfId="1" applyNumberFormat="1" applyFont="1" applyFill="1"/>
    <xf numFmtId="166" fontId="4" fillId="2" borderId="0" xfId="1" applyNumberFormat="1" applyFont="1" applyFill="1"/>
    <xf numFmtId="165" fontId="4" fillId="11" borderId="0" xfId="0" applyNumberFormat="1" applyFont="1" applyFill="1"/>
    <xf numFmtId="0" fontId="11" fillId="11" borderId="0" xfId="0" applyFont="1" applyFill="1" applyAlignment="1">
      <alignment horizontal="left" indent="1"/>
    </xf>
    <xf numFmtId="0" fontId="12" fillId="11" borderId="0" xfId="0" applyFont="1" applyFill="1"/>
    <xf numFmtId="167" fontId="4" fillId="2" borderId="0" xfId="0" applyNumberFormat="1" applyFont="1" applyFill="1"/>
    <xf numFmtId="165" fontId="4" fillId="6" borderId="0" xfId="0" applyNumberFormat="1" applyFont="1" applyFill="1"/>
    <xf numFmtId="0" fontId="4" fillId="0" borderId="7" xfId="0" applyFont="1" applyBorder="1"/>
    <xf numFmtId="0" fontId="17" fillId="12" borderId="0" xfId="0" applyFont="1" applyFill="1"/>
    <xf numFmtId="0" fontId="4" fillId="12" borderId="0" xfId="0" applyFont="1" applyFill="1" applyAlignment="1">
      <alignment horizontal="right"/>
    </xf>
    <xf numFmtId="0" fontId="4" fillId="12" borderId="6" xfId="0" applyFont="1" applyFill="1" applyBorder="1" applyAlignment="1">
      <alignment horizontal="right"/>
    </xf>
    <xf numFmtId="0" fontId="4" fillId="12" borderId="0" xfId="0" applyFont="1" applyFill="1"/>
    <xf numFmtId="0" fontId="17" fillId="12" borderId="6" xfId="0" applyFont="1" applyFill="1" applyBorder="1" applyAlignment="1">
      <alignment horizontal="right"/>
    </xf>
    <xf numFmtId="0" fontId="17" fillId="12" borderId="7" xfId="0" applyFont="1" applyFill="1" applyBorder="1" applyAlignment="1">
      <alignment horizontal="right"/>
    </xf>
    <xf numFmtId="0" fontId="21" fillId="4" borderId="11" xfId="0" applyFont="1" applyFill="1" applyBorder="1"/>
    <xf numFmtId="168" fontId="20" fillId="4" borderId="11" xfId="0" applyNumberFormat="1" applyFont="1" applyFill="1" applyBorder="1" applyAlignment="1">
      <alignment horizontal="right"/>
    </xf>
    <xf numFmtId="168" fontId="19" fillId="4" borderId="12" xfId="0" applyNumberFormat="1" applyFont="1" applyFill="1" applyBorder="1" applyAlignment="1">
      <alignment horizontal="right"/>
    </xf>
    <xf numFmtId="168" fontId="19" fillId="4" borderId="11" xfId="0" applyNumberFormat="1" applyFont="1" applyFill="1" applyBorder="1" applyAlignment="1">
      <alignment horizontal="right"/>
    </xf>
    <xf numFmtId="0" fontId="7" fillId="4" borderId="11" xfId="0" applyFont="1" applyFill="1" applyBorder="1"/>
    <xf numFmtId="165" fontId="4" fillId="4" borderId="11" xfId="0" applyNumberFormat="1" applyFont="1" applyFill="1" applyBorder="1" applyAlignment="1">
      <alignment horizontal="right"/>
    </xf>
    <xf numFmtId="165" fontId="7" fillId="4" borderId="12" xfId="0" applyNumberFormat="1" applyFont="1" applyFill="1" applyBorder="1" applyAlignment="1">
      <alignment horizontal="right"/>
    </xf>
    <xf numFmtId="165" fontId="7" fillId="4" borderId="11" xfId="0" applyNumberFormat="1" applyFont="1" applyFill="1" applyBorder="1" applyAlignment="1">
      <alignment horizontal="right"/>
    </xf>
    <xf numFmtId="0" fontId="21" fillId="0" borderId="18" xfId="0" applyFont="1" applyBorder="1"/>
    <xf numFmtId="168" fontId="20" fillId="0" borderId="18" xfId="0" applyNumberFormat="1" applyFont="1" applyBorder="1" applyAlignment="1">
      <alignment horizontal="right"/>
    </xf>
    <xf numFmtId="168" fontId="19" fillId="0" borderId="19" xfId="0" applyNumberFormat="1" applyFont="1" applyBorder="1" applyAlignment="1">
      <alignment horizontal="right"/>
    </xf>
    <xf numFmtId="168" fontId="19" fillId="0" borderId="18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168" fontId="7" fillId="0" borderId="19" xfId="0" applyNumberFormat="1" applyFont="1" applyBorder="1" applyAlignment="1">
      <alignment horizontal="right"/>
    </xf>
    <xf numFmtId="168" fontId="7" fillId="0" borderId="18" xfId="0" applyNumberFormat="1" applyFont="1" applyBorder="1" applyAlignment="1">
      <alignment horizontal="right"/>
    </xf>
    <xf numFmtId="0" fontId="8" fillId="12" borderId="0" xfId="0" applyFont="1" applyFill="1"/>
    <xf numFmtId="0" fontId="7" fillId="12" borderId="0" xfId="0" applyFont="1" applyFill="1" applyAlignment="1">
      <alignment horizontal="center"/>
    </xf>
    <xf numFmtId="0" fontId="4" fillId="12" borderId="15" xfId="0" applyFont="1" applyFill="1" applyBorder="1" applyAlignment="1">
      <alignment horizontal="right"/>
    </xf>
    <xf numFmtId="1" fontId="4" fillId="4" borderId="0" xfId="0" applyNumberFormat="1" applyFont="1" applyFill="1"/>
    <xf numFmtId="165" fontId="7" fillId="0" borderId="20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8" fontId="4" fillId="0" borderId="20" xfId="0" applyNumberFormat="1" applyFont="1" applyBorder="1" applyAlignment="1">
      <alignment horizontal="right"/>
    </xf>
    <xf numFmtId="168" fontId="20" fillId="0" borderId="5" xfId="0" applyNumberFormat="1" applyFont="1" applyBorder="1" applyAlignment="1">
      <alignment horizontal="right"/>
    </xf>
    <xf numFmtId="165" fontId="4" fillId="0" borderId="20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0" fontId="7" fillId="4" borderId="0" xfId="0" applyFont="1" applyFill="1"/>
    <xf numFmtId="165" fontId="7" fillId="4" borderId="0" xfId="0" applyNumberFormat="1" applyFont="1" applyFill="1" applyAlignment="1">
      <alignment horizontal="right"/>
    </xf>
    <xf numFmtId="0" fontId="7" fillId="4" borderId="1" xfId="0" applyFont="1" applyFill="1" applyBorder="1"/>
    <xf numFmtId="165" fontId="7" fillId="4" borderId="1" xfId="0" applyNumberFormat="1" applyFont="1" applyFill="1" applyBorder="1" applyAlignment="1">
      <alignment horizontal="right"/>
    </xf>
    <xf numFmtId="165" fontId="25" fillId="4" borderId="9" xfId="0" applyNumberFormat="1" applyFont="1" applyFill="1" applyBorder="1" applyAlignment="1">
      <alignment horizontal="right"/>
    </xf>
    <xf numFmtId="165" fontId="25" fillId="4" borderId="0" xfId="0" applyNumberFormat="1" applyFont="1" applyFill="1" applyAlignment="1">
      <alignment horizontal="right"/>
    </xf>
    <xf numFmtId="165" fontId="25" fillId="0" borderId="9" xfId="0" applyNumberFormat="1" applyFont="1" applyBorder="1" applyAlignment="1">
      <alignment horizontal="right"/>
    </xf>
    <xf numFmtId="165" fontId="25" fillId="0" borderId="0" xfId="0" applyNumberFormat="1" applyFont="1" applyAlignment="1">
      <alignment horizontal="right"/>
    </xf>
    <xf numFmtId="165" fontId="25" fillId="4" borderId="8" xfId="0" applyNumberFormat="1" applyFont="1" applyFill="1" applyBorder="1" applyAlignment="1">
      <alignment horizontal="right"/>
    </xf>
    <xf numFmtId="165" fontId="25" fillId="4" borderId="1" xfId="0" applyNumberFormat="1" applyFont="1" applyFill="1" applyBorder="1" applyAlignment="1">
      <alignment horizontal="right"/>
    </xf>
    <xf numFmtId="165" fontId="25" fillId="2" borderId="8" xfId="0" applyNumberFormat="1" applyFont="1" applyFill="1" applyBorder="1" applyAlignment="1">
      <alignment horizontal="right"/>
    </xf>
    <xf numFmtId="165" fontId="25" fillId="2" borderId="1" xfId="0" applyNumberFormat="1" applyFont="1" applyFill="1" applyBorder="1" applyAlignment="1">
      <alignment horizontal="right"/>
    </xf>
    <xf numFmtId="0" fontId="7" fillId="11" borderId="0" xfId="0" applyFont="1" applyFill="1"/>
    <xf numFmtId="165" fontId="7" fillId="2" borderId="0" xfId="0" applyNumberFormat="1" applyFont="1" applyFill="1" applyAlignment="1">
      <alignment horizontal="right"/>
    </xf>
    <xf numFmtId="165" fontId="25" fillId="2" borderId="9" xfId="0" applyNumberFormat="1" applyFont="1" applyFill="1" applyBorder="1" applyAlignment="1">
      <alignment horizontal="right"/>
    </xf>
    <xf numFmtId="165" fontId="25" fillId="2" borderId="0" xfId="0" applyNumberFormat="1" applyFont="1" applyFill="1" applyAlignment="1">
      <alignment horizontal="right"/>
    </xf>
    <xf numFmtId="40" fontId="4" fillId="0" borderId="0" xfId="0" applyNumberFormat="1" applyFont="1"/>
    <xf numFmtId="167" fontId="17" fillId="0" borderId="0" xfId="0" applyNumberFormat="1" applyFont="1" applyAlignment="1">
      <alignment horizontal="right"/>
    </xf>
    <xf numFmtId="168" fontId="4" fillId="4" borderId="0" xfId="0" applyNumberFormat="1" applyFont="1" applyFill="1" applyAlignment="1">
      <alignment horizontal="right"/>
    </xf>
    <xf numFmtId="168" fontId="4" fillId="2" borderId="0" xfId="0" applyNumberFormat="1" applyFont="1" applyFill="1"/>
    <xf numFmtId="2" fontId="7" fillId="0" borderId="15" xfId="0" applyNumberFormat="1" applyFont="1" applyBorder="1" applyAlignment="1">
      <alignment horizontal="right"/>
    </xf>
    <xf numFmtId="171" fontId="7" fillId="0" borderId="0" xfId="0" applyNumberFormat="1" applyFont="1" applyAlignment="1">
      <alignment horizontal="right"/>
    </xf>
    <xf numFmtId="171" fontId="7" fillId="0" borderId="15" xfId="0" applyNumberFormat="1" applyFont="1" applyBorder="1" applyAlignment="1">
      <alignment horizontal="right"/>
    </xf>
    <xf numFmtId="0" fontId="26" fillId="0" borderId="0" xfId="0" applyFont="1"/>
    <xf numFmtId="40" fontId="26" fillId="0" borderId="0" xfId="0" applyNumberFormat="1" applyFont="1"/>
    <xf numFmtId="168" fontId="26" fillId="0" borderId="0" xfId="0" applyNumberFormat="1" applyFont="1"/>
    <xf numFmtId="0" fontId="4" fillId="0" borderId="0" xfId="0" quotePrefix="1" applyFont="1"/>
    <xf numFmtId="0" fontId="21" fillId="0" borderId="18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168" fontId="4" fillId="0" borderId="0" xfId="1" applyNumberFormat="1" applyFont="1" applyFill="1"/>
    <xf numFmtId="0" fontId="13" fillId="2" borderId="0" xfId="0" applyFont="1" applyFill="1"/>
    <xf numFmtId="167" fontId="13" fillId="2" borderId="0" xfId="0" applyNumberFormat="1" applyFont="1" applyFill="1" applyAlignment="1">
      <alignment horizontal="right"/>
    </xf>
    <xf numFmtId="165" fontId="13" fillId="2" borderId="0" xfId="0" applyNumberFormat="1" applyFont="1" applyFill="1" applyAlignment="1">
      <alignment horizontal="right"/>
    </xf>
    <xf numFmtId="168" fontId="13" fillId="2" borderId="0" xfId="1" applyNumberFormat="1" applyFont="1" applyFill="1"/>
    <xf numFmtId="171" fontId="7" fillId="0" borderId="16" xfId="0" applyNumberFormat="1" applyFont="1" applyBorder="1" applyAlignment="1">
      <alignment horizontal="right"/>
    </xf>
    <xf numFmtId="0" fontId="7" fillId="12" borderId="0" xfId="0" applyFont="1" applyFill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urora Jakobsen" id="{B107C55C-A930-5444-987F-4CEAE71B093D}" userId="S::aurora@energeiaasset.onmicrosoft.com::a2302e73-5e13-47b4-987b-c72dd1bed9bb" providerId="AD"/>
</personList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n.a.</v>
    <v>2</v>
    <v>3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2" dT="2024-08-14T09:05:52.39" personId="{B107C55C-A930-5444-987F-4CEAE71B093D}" id="{1C5B441A-324C-6247-A2A0-AB1F1F1EEB60}">
    <text>Er 2025 korrekt år 1?</text>
  </threadedComment>
  <threadedComment ref="B469" dT="2024-08-13T09:28:01.53" personId="{B107C55C-A930-5444-987F-4CEAE71B093D}" id="{151CA4D7-E99F-6A43-A9EC-B379B3266E9F}">
    <text>Egentlig teknisk anlegg?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9060-E666-674C-8866-5999DBCEF23C}">
  <sheetPr>
    <tabColor rgb="FF00B050"/>
    <pageSetUpPr fitToPage="1"/>
  </sheetPr>
  <dimension ref="A1:BY480"/>
  <sheetViews>
    <sheetView showGridLines="0" tabSelected="1" topLeftCell="A241" zoomScale="160" zoomScaleNormal="160" workbookViewId="0">
      <selection activeCell="D267" sqref="D267"/>
    </sheetView>
  </sheetViews>
  <sheetFormatPr baseColWidth="10" defaultColWidth="8.83203125" defaultRowHeight="15"/>
  <cols>
    <col min="1" max="1" width="4.83203125" style="3" customWidth="1"/>
    <col min="2" max="2" width="60.6640625" style="3" customWidth="1"/>
    <col min="3" max="5" width="12.1640625" style="3" customWidth="1"/>
    <col min="6" max="6" width="14.33203125" style="3" customWidth="1"/>
    <col min="7" max="7" width="14.5" style="3" customWidth="1"/>
    <col min="8" max="8" width="13.6640625" style="3" bestFit="1" customWidth="1"/>
    <col min="9" max="10" width="13.33203125" style="3" customWidth="1"/>
    <col min="11" max="11" width="17.83203125" style="3" customWidth="1"/>
    <col min="12" max="12" width="18.5" style="3" customWidth="1"/>
    <col min="13" max="13" width="33.1640625" style="3" customWidth="1"/>
    <col min="14" max="22" width="9.83203125" style="3" bestFit="1" customWidth="1"/>
    <col min="23" max="16384" width="8.83203125" style="3"/>
  </cols>
  <sheetData>
    <row r="1" spans="1:9" ht="20">
      <c r="B1" s="1" t="s">
        <v>272</v>
      </c>
      <c r="C1" s="2"/>
      <c r="D1" s="2"/>
      <c r="E1" s="2"/>
      <c r="I1" s="2" t="s">
        <v>25</v>
      </c>
    </row>
    <row r="3" spans="1:9" ht="18">
      <c r="A3" s="95" t="s">
        <v>158</v>
      </c>
      <c r="B3" s="4" t="s">
        <v>186</v>
      </c>
      <c r="C3" s="5"/>
      <c r="D3" s="5"/>
      <c r="E3" s="5"/>
    </row>
    <row r="5" spans="1:9">
      <c r="C5" s="66"/>
      <c r="D5" s="64"/>
      <c r="E5" s="64"/>
      <c r="F5" s="64"/>
      <c r="G5" s="65"/>
    </row>
    <row r="6" spans="1:9">
      <c r="B6" s="147" t="s">
        <v>128</v>
      </c>
      <c r="C6" s="148">
        <v>1</v>
      </c>
      <c r="D6" s="148">
        <v>19</v>
      </c>
      <c r="E6" s="148">
        <f>75-20</f>
        <v>55</v>
      </c>
      <c r="F6" s="149"/>
      <c r="G6" s="148"/>
    </row>
    <row r="7" spans="1:9">
      <c r="B7" s="150" t="s">
        <v>136</v>
      </c>
      <c r="C7" s="148" t="s">
        <v>32</v>
      </c>
      <c r="D7" s="148" t="s">
        <v>41</v>
      </c>
      <c r="E7" s="148" t="s">
        <v>126</v>
      </c>
      <c r="F7" s="151" t="s">
        <v>149</v>
      </c>
      <c r="G7" s="152" t="s">
        <v>127</v>
      </c>
    </row>
    <row r="8" spans="1:9" ht="7" customHeight="1">
      <c r="C8" s="7"/>
      <c r="D8" s="7"/>
      <c r="E8" s="7"/>
      <c r="F8" s="80"/>
      <c r="G8" s="8"/>
    </row>
    <row r="9" spans="1:9">
      <c r="B9" s="157" t="s">
        <v>125</v>
      </c>
      <c r="C9" s="158"/>
      <c r="D9" s="158"/>
      <c r="E9" s="158"/>
      <c r="F9" s="159"/>
      <c r="G9" s="160"/>
    </row>
    <row r="10" spans="1:9">
      <c r="B10" s="3" t="s">
        <v>164</v>
      </c>
      <c r="C10" s="64">
        <v>-3.34</v>
      </c>
      <c r="D10" s="64">
        <v>-3.34</v>
      </c>
      <c r="E10" s="64">
        <v>-3.34</v>
      </c>
      <c r="F10" s="81">
        <f>(E10*30)</f>
        <v>-100.19999999999999</v>
      </c>
      <c r="G10" s="65">
        <f>E10*75</f>
        <v>-250.5</v>
      </c>
    </row>
    <row r="11" spans="1:9">
      <c r="B11" s="3" t="s">
        <v>165</v>
      </c>
      <c r="C11" s="64">
        <v>-1.96</v>
      </c>
      <c r="D11" s="64">
        <v>-1.96</v>
      </c>
      <c r="E11" s="64">
        <v>-1.96</v>
      </c>
      <c r="F11" s="81">
        <f>(E11*30)</f>
        <v>-58.8</v>
      </c>
      <c r="G11" s="65">
        <f>E11*75</f>
        <v>-147</v>
      </c>
    </row>
    <row r="12" spans="1:9">
      <c r="B12" s="3" t="s">
        <v>205</v>
      </c>
      <c r="C12" s="64">
        <v>-1.19</v>
      </c>
      <c r="D12" s="64">
        <v>-1.19</v>
      </c>
      <c r="E12" s="64">
        <v>-1.19</v>
      </c>
      <c r="F12" s="81">
        <f t="shared" ref="F12:F14" si="0">(E12*30)</f>
        <v>-35.699999999999996</v>
      </c>
      <c r="G12" s="65">
        <f t="shared" ref="G12:G14" si="1">E12*75</f>
        <v>-89.25</v>
      </c>
    </row>
    <row r="13" spans="1:9">
      <c r="B13" s="3" t="s">
        <v>206</v>
      </c>
      <c r="C13" s="64">
        <v>-0.66</v>
      </c>
      <c r="D13" s="64">
        <v>-0.66</v>
      </c>
      <c r="E13" s="64">
        <v>-0.66</v>
      </c>
      <c r="F13" s="81">
        <f t="shared" si="0"/>
        <v>-19.8</v>
      </c>
      <c r="G13" s="65">
        <f t="shared" si="1"/>
        <v>-49.5</v>
      </c>
    </row>
    <row r="14" spans="1:9">
      <c r="B14" s="3" t="s">
        <v>217</v>
      </c>
      <c r="C14" s="64">
        <v>-0.17</v>
      </c>
      <c r="D14" s="64">
        <v>-0.17</v>
      </c>
      <c r="E14" s="64">
        <v>-0.17</v>
      </c>
      <c r="F14" s="81">
        <f t="shared" si="0"/>
        <v>-5.1000000000000005</v>
      </c>
      <c r="G14" s="65">
        <f t="shared" si="1"/>
        <v>-12.750000000000002</v>
      </c>
    </row>
    <row r="15" spans="1:9">
      <c r="B15" s="3" t="s">
        <v>167</v>
      </c>
      <c r="C15" s="64">
        <v>0.44</v>
      </c>
      <c r="D15" s="64">
        <v>0.44</v>
      </c>
      <c r="E15" s="125">
        <v>0.44</v>
      </c>
      <c r="F15" s="97">
        <f>(E15*30)</f>
        <v>13.2</v>
      </c>
      <c r="G15" s="97">
        <f>C15+D15*19+E15*55</f>
        <v>33</v>
      </c>
    </row>
    <row r="16" spans="1:9">
      <c r="B16" s="3" t="s">
        <v>168</v>
      </c>
      <c r="C16" s="99">
        <v>-0.43</v>
      </c>
      <c r="D16" s="99">
        <v>-0.43</v>
      </c>
      <c r="E16" s="99">
        <v>-0.43</v>
      </c>
      <c r="F16" s="98">
        <f>(E16*30)</f>
        <v>-12.9</v>
      </c>
      <c r="G16" s="97">
        <f>C16+D16*19+E16*55</f>
        <v>-32.25</v>
      </c>
    </row>
    <row r="17" spans="2:8">
      <c r="B17" s="3" t="s">
        <v>163</v>
      </c>
      <c r="C17" s="64">
        <v>-0.14000000000000001</v>
      </c>
      <c r="D17" s="64">
        <v>-0.14000000000000001</v>
      </c>
      <c r="E17" s="64">
        <v>-0.14000000000000001</v>
      </c>
      <c r="F17" s="81">
        <f>E17*30</f>
        <v>-4.2</v>
      </c>
      <c r="G17" s="65">
        <f>E17*75</f>
        <v>-10.500000000000002</v>
      </c>
    </row>
    <row r="18" spans="2:8" ht="7" customHeight="1">
      <c r="C18" s="64"/>
      <c r="D18" s="64"/>
      <c r="E18" s="64"/>
      <c r="F18" s="81"/>
      <c r="G18" s="65"/>
    </row>
    <row r="19" spans="2:8">
      <c r="B19" s="153" t="s">
        <v>162</v>
      </c>
      <c r="C19" s="154"/>
      <c r="D19" s="154"/>
      <c r="E19" s="154"/>
      <c r="F19" s="155"/>
      <c r="G19" s="156"/>
    </row>
    <row r="20" spans="2:8" ht="5" customHeight="1">
      <c r="B20" s="100"/>
      <c r="C20" s="99"/>
      <c r="D20" s="99"/>
      <c r="E20" s="99"/>
      <c r="F20" s="98"/>
      <c r="G20" s="97"/>
    </row>
    <row r="21" spans="2:8">
      <c r="B21" s="161" t="s">
        <v>185</v>
      </c>
      <c r="C21" s="162"/>
      <c r="D21" s="162"/>
      <c r="E21" s="162"/>
      <c r="F21" s="163"/>
      <c r="G21" s="164"/>
    </row>
    <row r="22" spans="2:8">
      <c r="B22" s="100" t="s">
        <v>173</v>
      </c>
      <c r="C22" s="99"/>
      <c r="D22" s="99"/>
      <c r="E22" s="99"/>
      <c r="F22" s="81"/>
      <c r="G22" s="65"/>
    </row>
    <row r="23" spans="2:8">
      <c r="B23" s="112" t="s">
        <v>176</v>
      </c>
      <c r="C23" s="64">
        <v>42.12</v>
      </c>
      <c r="D23" s="64">
        <v>4.58</v>
      </c>
      <c r="E23" s="64">
        <v>-0.43</v>
      </c>
      <c r="F23" s="81">
        <f>0+(C23+D23*19+E23*10)</f>
        <v>124.83999999999999</v>
      </c>
      <c r="G23" s="65">
        <f>C23+D23*19+E23*55</f>
        <v>105.48999999999998</v>
      </c>
      <c r="H23" s="195"/>
    </row>
    <row r="24" spans="2:8">
      <c r="B24" s="112" t="s">
        <v>175</v>
      </c>
      <c r="C24" s="64">
        <v>33.07</v>
      </c>
      <c r="D24" s="64">
        <v>4.58</v>
      </c>
      <c r="E24" s="64">
        <v>-0.43</v>
      </c>
      <c r="F24" s="81">
        <f>0+(C24+D24*19+E24*10)</f>
        <v>115.79</v>
      </c>
      <c r="G24" s="65">
        <f>C24+D24*19+E24*55</f>
        <v>96.44</v>
      </c>
      <c r="H24" s="195"/>
    </row>
    <row r="25" spans="2:8">
      <c r="B25" s="112" t="s">
        <v>207</v>
      </c>
      <c r="C25" s="64">
        <v>24.25</v>
      </c>
      <c r="D25" s="64">
        <v>4.58</v>
      </c>
      <c r="E25" s="64">
        <v>-0.43</v>
      </c>
      <c r="F25" s="81">
        <f t="shared" ref="F25:F26" si="2">0+(C25+D25*19+E25*10)</f>
        <v>106.97</v>
      </c>
      <c r="G25" s="65">
        <f t="shared" ref="G25:G26" si="3">C25+D25*19+E25*55</f>
        <v>87.62</v>
      </c>
      <c r="H25" s="195"/>
    </row>
    <row r="26" spans="2:8">
      <c r="B26" s="112" t="s">
        <v>208</v>
      </c>
      <c r="C26" s="64">
        <v>11.14</v>
      </c>
      <c r="D26" s="64">
        <v>4.58</v>
      </c>
      <c r="E26" s="64">
        <v>-0.43</v>
      </c>
      <c r="F26" s="81">
        <f t="shared" si="2"/>
        <v>93.86</v>
      </c>
      <c r="G26" s="65">
        <f t="shared" si="3"/>
        <v>74.509999999999991</v>
      </c>
      <c r="H26" s="195"/>
    </row>
    <row r="27" spans="2:8">
      <c r="B27" s="112"/>
      <c r="C27" s="64"/>
      <c r="D27" s="64"/>
      <c r="E27" s="64"/>
      <c r="F27" s="81"/>
      <c r="G27" s="65"/>
      <c r="H27" s="195"/>
    </row>
    <row r="28" spans="2:8">
      <c r="B28" s="161" t="s">
        <v>163</v>
      </c>
      <c r="C28" s="165"/>
      <c r="D28" s="165"/>
      <c r="E28" s="165"/>
      <c r="F28" s="166"/>
      <c r="G28" s="167"/>
      <c r="H28" s="195"/>
    </row>
    <row r="29" spans="2:8">
      <c r="B29" s="112" t="s">
        <v>209</v>
      </c>
      <c r="C29" s="64">
        <v>3.04</v>
      </c>
      <c r="D29" s="64">
        <v>3.04</v>
      </c>
      <c r="E29" s="64">
        <v>0.44</v>
      </c>
      <c r="F29" s="81">
        <f t="shared" ref="F29" si="4">0+(C29+D29*19+E29*10)</f>
        <v>65.2</v>
      </c>
      <c r="G29" s="65">
        <f t="shared" ref="G29" si="5">C29+D29*19+E29*55</f>
        <v>85</v>
      </c>
      <c r="H29" s="195"/>
    </row>
    <row r="30" spans="2:8">
      <c r="B30" s="112"/>
      <c r="C30" s="64"/>
      <c r="D30" s="64"/>
      <c r="E30" s="64"/>
      <c r="F30" s="81"/>
      <c r="G30" s="65"/>
      <c r="H30" s="195"/>
    </row>
    <row r="31" spans="2:8">
      <c r="B31" s="161" t="s">
        <v>210</v>
      </c>
      <c r="C31" s="165"/>
      <c r="D31" s="165"/>
      <c r="E31" s="165"/>
      <c r="F31" s="166"/>
      <c r="G31" s="167"/>
      <c r="H31" s="195"/>
    </row>
    <row r="32" spans="2:8">
      <c r="B32" s="112" t="s">
        <v>229</v>
      </c>
      <c r="C32" s="64" t="s">
        <v>212</v>
      </c>
      <c r="D32" s="64" t="s">
        <v>212</v>
      </c>
      <c r="E32" s="64">
        <v>-0.43</v>
      </c>
      <c r="F32" s="81" t="e" vm="1">
        <f>0+((C32+D32)*19+(E32*10))</f>
        <v>#VALUE!</v>
      </c>
      <c r="G32" s="65" t="e" vm="1">
        <f>C32+D32*19+E32*55</f>
        <v>#VALUE!</v>
      </c>
      <c r="H32" s="195"/>
    </row>
    <row r="33" spans="2:11">
      <c r="B33" s="112" t="s">
        <v>211</v>
      </c>
      <c r="C33" s="64" t="s">
        <v>212</v>
      </c>
      <c r="D33" s="64" t="s">
        <v>212</v>
      </c>
      <c r="E33" s="64">
        <v>0.44</v>
      </c>
      <c r="F33" s="81" t="e" vm="1">
        <f>0+(C33+D33*19+E33*10)</f>
        <v>#VALUE!</v>
      </c>
      <c r="G33" s="65" t="e">
        <f t="shared" ref="G33" si="6">C33+D33*19+E33*55</f>
        <v>#VALUE!</v>
      </c>
      <c r="H33" s="195"/>
    </row>
    <row r="34" spans="2:11">
      <c r="B34" s="112"/>
      <c r="C34" s="64"/>
      <c r="D34" s="64"/>
      <c r="E34" s="64"/>
      <c r="F34" s="81"/>
      <c r="G34" s="65"/>
      <c r="H34" s="195"/>
    </row>
    <row r="35" spans="2:11">
      <c r="B35" s="206" t="s">
        <v>167</v>
      </c>
      <c r="C35" s="165"/>
      <c r="D35" s="165"/>
      <c r="E35" s="165"/>
      <c r="F35" s="166"/>
      <c r="G35" s="167"/>
    </row>
    <row r="36" spans="2:11">
      <c r="B36" s="136" t="s">
        <v>178</v>
      </c>
      <c r="C36" s="64">
        <f>-5.24-3.2488</f>
        <v>-8.4888000000000012</v>
      </c>
      <c r="D36" s="64">
        <f>-3.59-2.2258</f>
        <v>-5.8157999999999994</v>
      </c>
      <c r="E36" s="64">
        <v>-0.43</v>
      </c>
      <c r="F36" s="81">
        <f>0+(C36+D36*19+E36*10)</f>
        <v>-123.28899999999999</v>
      </c>
      <c r="G36" s="65">
        <f>C36+D36*19+E36*55</f>
        <v>-142.63899999999998</v>
      </c>
    </row>
    <row r="37" spans="2:11">
      <c r="B37" s="136" t="s">
        <v>184</v>
      </c>
      <c r="C37" s="64">
        <f>-3.04-1.984</f>
        <v>-5.024</v>
      </c>
      <c r="D37" s="64">
        <f>-3.04-1.984</f>
        <v>-5.024</v>
      </c>
      <c r="E37" s="64">
        <f>-0.14</f>
        <v>-0.14000000000000001</v>
      </c>
      <c r="F37" s="81">
        <f>0+(C37+D37*19+E37*10)</f>
        <v>-101.88000000000001</v>
      </c>
      <c r="G37" s="65">
        <f>C37+D37*19+E37*55</f>
        <v>-108.18</v>
      </c>
    </row>
    <row r="38" spans="2:11">
      <c r="B38" s="100"/>
      <c r="C38" s="64"/>
      <c r="D38" s="64"/>
      <c r="E38" s="64"/>
      <c r="F38" s="81"/>
      <c r="G38" s="65"/>
    </row>
    <row r="39" spans="2:11">
      <c r="B39" s="161" t="s">
        <v>168</v>
      </c>
      <c r="C39" s="165"/>
      <c r="D39" s="165"/>
      <c r="E39" s="165"/>
      <c r="F39" s="166"/>
      <c r="G39" s="167"/>
    </row>
    <row r="40" spans="2:11">
      <c r="B40" s="112" t="s">
        <v>174</v>
      </c>
      <c r="C40" s="64">
        <v>8.7200000000000006</v>
      </c>
      <c r="D40" s="64">
        <v>3.59</v>
      </c>
      <c r="E40" s="64">
        <v>0.44</v>
      </c>
      <c r="F40" s="113">
        <f>0+(C40+D40*19+E40*10)</f>
        <v>81.33</v>
      </c>
      <c r="G40" s="114">
        <f>C40+D40*19+E40*55</f>
        <v>101.13</v>
      </c>
    </row>
    <row r="41" spans="2:11" ht="7" customHeight="1">
      <c r="B41" s="115"/>
      <c r="C41" s="116"/>
      <c r="D41" s="116"/>
      <c r="E41" s="118"/>
      <c r="F41" s="117"/>
      <c r="G41" s="117"/>
    </row>
    <row r="42" spans="2:11">
      <c r="B42" s="100"/>
      <c r="C42" s="99"/>
      <c r="D42" s="99"/>
      <c r="E42" s="99"/>
      <c r="F42" s="97"/>
      <c r="G42" s="97"/>
    </row>
    <row r="43" spans="2:11">
      <c r="B43" s="101"/>
      <c r="C43" s="99"/>
      <c r="D43" s="99"/>
      <c r="E43" s="99"/>
      <c r="F43" s="97"/>
      <c r="G43" s="97"/>
    </row>
    <row r="44" spans="2:11">
      <c r="B44" s="147" t="s">
        <v>170</v>
      </c>
      <c r="C44" s="168" t="s">
        <v>171</v>
      </c>
      <c r="D44" s="215" t="s">
        <v>44</v>
      </c>
      <c r="E44" s="215"/>
      <c r="F44" s="216" t="s">
        <v>177</v>
      </c>
      <c r="G44" s="215"/>
      <c r="H44" s="215"/>
      <c r="I44" s="215"/>
      <c r="J44" s="215"/>
      <c r="K44" s="215"/>
    </row>
    <row r="45" spans="2:11">
      <c r="B45" s="147"/>
      <c r="C45" s="168"/>
      <c r="D45" s="169"/>
      <c r="E45" s="170"/>
      <c r="F45" s="148">
        <v>1</v>
      </c>
      <c r="G45" s="148">
        <v>19</v>
      </c>
      <c r="H45" s="148">
        <v>10</v>
      </c>
      <c r="I45" s="148">
        <v>45</v>
      </c>
      <c r="J45" s="169"/>
      <c r="K45" s="169"/>
    </row>
    <row r="46" spans="2:11">
      <c r="B46" s="147"/>
      <c r="C46" s="147"/>
      <c r="D46" s="148" t="s">
        <v>45</v>
      </c>
      <c r="E46" s="170" t="s">
        <v>159</v>
      </c>
      <c r="F46" s="148" t="s">
        <v>32</v>
      </c>
      <c r="G46" s="148" t="s">
        <v>41</v>
      </c>
      <c r="H46" s="148" t="s">
        <v>42</v>
      </c>
      <c r="I46" s="148" t="s">
        <v>43</v>
      </c>
      <c r="J46" s="148" t="s">
        <v>25</v>
      </c>
      <c r="K46" s="148" t="s">
        <v>169</v>
      </c>
    </row>
    <row r="47" spans="2:11" ht="4" customHeight="1">
      <c r="B47" s="70"/>
      <c r="D47" s="103"/>
      <c r="E47" s="119"/>
      <c r="I47" s="146"/>
      <c r="J47" s="103"/>
      <c r="K47" s="103"/>
    </row>
    <row r="48" spans="2:11">
      <c r="B48" s="128" t="s">
        <v>166</v>
      </c>
      <c r="C48" s="129"/>
      <c r="D48" s="214">
        <f>D49+D58+D55</f>
        <v>99.59999999999998</v>
      </c>
      <c r="E48" s="134">
        <f>E49+E55+E58</f>
        <v>9.9600000000000009</v>
      </c>
      <c r="F48" s="135"/>
      <c r="G48" s="135"/>
      <c r="H48" s="135"/>
      <c r="I48" s="172"/>
      <c r="J48" s="135">
        <f>SUM(J50:J52)</f>
        <v>-747.58199999999999</v>
      </c>
      <c r="K48" s="135">
        <f>SUM(K50:K52)</f>
        <v>-1868.9550000000002</v>
      </c>
    </row>
    <row r="49" spans="2:11">
      <c r="B49" s="41" t="s">
        <v>215</v>
      </c>
      <c r="D49" s="200">
        <f>SUM(D50:D53)</f>
        <v>78.899999999999991</v>
      </c>
      <c r="E49" s="199">
        <f>SUM(E50:E53)</f>
        <v>7.89</v>
      </c>
      <c r="F49" s="8"/>
      <c r="G49" s="8"/>
      <c r="H49" s="8"/>
      <c r="I49" s="177"/>
      <c r="J49" s="8"/>
      <c r="K49" s="8"/>
    </row>
    <row r="50" spans="2:11">
      <c r="B50" s="104" t="s">
        <v>160</v>
      </c>
      <c r="D50" s="106">
        <f>69.7</f>
        <v>69.7</v>
      </c>
      <c r="E50" s="121">
        <f>D50/10</f>
        <v>6.9700000000000006</v>
      </c>
      <c r="F50" s="7">
        <f>E50*C10</f>
        <v>-23.279800000000002</v>
      </c>
      <c r="G50" s="7">
        <f>E50*D10*G45</f>
        <v>-442.31620000000004</v>
      </c>
      <c r="H50" s="7">
        <f>E50*E10*H45</f>
        <v>-232.798</v>
      </c>
      <c r="I50" s="173">
        <f>E50*E10*I45</f>
        <v>-1047.5910000000001</v>
      </c>
      <c r="J50" s="7">
        <f>E50*F10</f>
        <v>-698.39400000000001</v>
      </c>
      <c r="K50" s="7">
        <f>E50*G10</f>
        <v>-1745.9850000000001</v>
      </c>
    </row>
    <row r="51" spans="2:11">
      <c r="B51" s="104" t="s">
        <v>161</v>
      </c>
      <c r="D51" s="105">
        <v>8.5</v>
      </c>
      <c r="E51" s="120">
        <f>D51/10</f>
        <v>0.85</v>
      </c>
      <c r="F51" s="7">
        <f>E51*C11</f>
        <v>-1.6659999999999999</v>
      </c>
      <c r="G51" s="7">
        <f>E51*D11*G45</f>
        <v>-31.654</v>
      </c>
      <c r="H51" s="7">
        <f>E51*E11*H45</f>
        <v>-16.66</v>
      </c>
      <c r="I51" s="173">
        <f>E51*E11*I45</f>
        <v>-74.97</v>
      </c>
      <c r="J51" s="7">
        <f>E51*F11</f>
        <v>-49.98</v>
      </c>
      <c r="K51" s="7">
        <f>E51*G11</f>
        <v>-124.95</v>
      </c>
    </row>
    <row r="52" spans="2:11">
      <c r="B52" s="104" t="s">
        <v>213</v>
      </c>
      <c r="D52" s="105">
        <v>0.6</v>
      </c>
      <c r="E52" s="120">
        <f>D52/10</f>
        <v>0.06</v>
      </c>
      <c r="F52" s="7">
        <f>E52*C15</f>
        <v>2.64E-2</v>
      </c>
      <c r="G52" s="7">
        <f>E52*D15*G45</f>
        <v>0.50160000000000005</v>
      </c>
      <c r="H52" s="7">
        <f>E52*E15*H45</f>
        <v>0.26400000000000001</v>
      </c>
      <c r="I52" s="173">
        <f>E52*E15*I45</f>
        <v>1.1879999999999999</v>
      </c>
      <c r="J52" s="7">
        <f>E52*F15</f>
        <v>0.79199999999999993</v>
      </c>
      <c r="K52" s="7">
        <f>E52*G15</f>
        <v>1.98</v>
      </c>
    </row>
    <row r="53" spans="2:11">
      <c r="B53" s="104" t="s">
        <v>214</v>
      </c>
      <c r="D53" s="105">
        <v>0.1</v>
      </c>
      <c r="E53" s="120">
        <f>D53/10</f>
        <v>0.01</v>
      </c>
      <c r="F53" s="7"/>
      <c r="G53" s="7"/>
      <c r="H53" s="7"/>
      <c r="I53" s="173"/>
      <c r="J53" s="7"/>
      <c r="K53" s="7"/>
    </row>
    <row r="54" spans="2:11">
      <c r="B54" s="104"/>
      <c r="D54" s="105"/>
      <c r="E54" s="120"/>
      <c r="F54" s="7"/>
      <c r="G54" s="7"/>
      <c r="H54" s="7"/>
      <c r="I54" s="173"/>
      <c r="J54" s="7"/>
      <c r="K54" s="7"/>
    </row>
    <row r="55" spans="2:11">
      <c r="B55" s="123" t="s">
        <v>220</v>
      </c>
      <c r="D55" s="200">
        <f>D56</f>
        <v>0.3</v>
      </c>
      <c r="E55" s="201">
        <f>D55/10</f>
        <v>0.03</v>
      </c>
      <c r="F55" s="7"/>
      <c r="G55" s="7"/>
      <c r="H55" s="7"/>
      <c r="I55" s="173"/>
      <c r="J55" s="7"/>
      <c r="K55" s="7"/>
    </row>
    <row r="56" spans="2:11">
      <c r="B56" s="104" t="s">
        <v>176</v>
      </c>
      <c r="D56" s="105">
        <v>0.3</v>
      </c>
      <c r="E56" s="120">
        <f>D56/10</f>
        <v>0.03</v>
      </c>
      <c r="F56" s="7"/>
      <c r="G56" s="7"/>
      <c r="H56" s="7"/>
      <c r="I56" s="173"/>
      <c r="J56" s="7"/>
      <c r="K56" s="7"/>
    </row>
    <row r="57" spans="2:11">
      <c r="B57" s="104"/>
      <c r="D57" s="105"/>
      <c r="E57" s="120"/>
      <c r="F57" s="7"/>
      <c r="G57" s="7"/>
      <c r="H57" s="7"/>
      <c r="I57" s="173"/>
      <c r="J57" s="7"/>
      <c r="K57" s="7"/>
    </row>
    <row r="58" spans="2:11">
      <c r="B58" s="123" t="s">
        <v>216</v>
      </c>
      <c r="D58" s="200">
        <f>SUM(D59:D62)</f>
        <v>20.399999999999999</v>
      </c>
      <c r="E58" s="201">
        <f t="shared" ref="E58:E62" si="7">D58/10</f>
        <v>2.04</v>
      </c>
      <c r="F58" s="7"/>
      <c r="G58" s="7"/>
      <c r="H58" s="7"/>
      <c r="I58" s="173"/>
      <c r="J58" s="7"/>
      <c r="K58" s="7"/>
    </row>
    <row r="59" spans="2:11">
      <c r="B59" s="104" t="s">
        <v>160</v>
      </c>
      <c r="D59" s="105">
        <v>0.4</v>
      </c>
      <c r="E59" s="120">
        <f t="shared" si="7"/>
        <v>0.04</v>
      </c>
      <c r="F59" s="7"/>
      <c r="G59" s="7"/>
      <c r="H59" s="7"/>
      <c r="I59" s="173"/>
      <c r="J59" s="7"/>
      <c r="K59" s="7"/>
    </row>
    <row r="60" spans="2:11">
      <c r="B60" s="104" t="s">
        <v>163</v>
      </c>
      <c r="D60" s="105">
        <v>15.8</v>
      </c>
      <c r="E60" s="120">
        <f t="shared" si="7"/>
        <v>1.58</v>
      </c>
      <c r="F60" s="7"/>
      <c r="G60" s="7"/>
      <c r="H60" s="7"/>
      <c r="I60" s="173"/>
      <c r="J60" s="7"/>
      <c r="K60" s="7"/>
    </row>
    <row r="61" spans="2:11">
      <c r="B61" s="104" t="s">
        <v>168</v>
      </c>
      <c r="D61" s="105">
        <v>2.8</v>
      </c>
      <c r="E61" s="120">
        <f t="shared" si="7"/>
        <v>0.27999999999999997</v>
      </c>
      <c r="F61" s="7"/>
      <c r="G61" s="7"/>
      <c r="H61" s="7"/>
      <c r="I61" s="173"/>
      <c r="J61" s="7"/>
      <c r="K61" s="7"/>
    </row>
    <row r="62" spans="2:11">
      <c r="B62" s="104" t="s">
        <v>217</v>
      </c>
      <c r="D62" s="105">
        <v>1.4</v>
      </c>
      <c r="E62" s="120">
        <f t="shared" si="7"/>
        <v>0.13999999999999999</v>
      </c>
      <c r="F62" s="7"/>
      <c r="G62" s="7"/>
      <c r="H62" s="7"/>
      <c r="I62" s="173"/>
      <c r="J62" s="7"/>
      <c r="K62" s="7"/>
    </row>
    <row r="63" spans="2:11" ht="7" customHeight="1">
      <c r="B63" s="104"/>
      <c r="D63" s="105"/>
      <c r="E63" s="120"/>
      <c r="F63" s="7"/>
      <c r="G63" s="7"/>
      <c r="H63" s="7"/>
      <c r="I63" s="173"/>
      <c r="J63" s="7"/>
      <c r="K63" s="7"/>
    </row>
    <row r="64" spans="2:11">
      <c r="B64" s="131" t="s">
        <v>257</v>
      </c>
      <c r="C64" s="132"/>
      <c r="D64" s="214">
        <f>D66</f>
        <v>79.599999999999994</v>
      </c>
      <c r="E64" s="133">
        <f>E66</f>
        <v>7.96</v>
      </c>
      <c r="F64" s="130"/>
      <c r="G64" s="130"/>
      <c r="H64" s="130"/>
      <c r="I64" s="174"/>
      <c r="J64" s="135">
        <f>SUM(J67:J70)</f>
        <v>977.29510000000005</v>
      </c>
      <c r="K64" s="135">
        <f>SUM(K67:K70)</f>
        <v>824.6235999999999</v>
      </c>
    </row>
    <row r="65" spans="1:11" ht="6" customHeight="1">
      <c r="B65" s="123"/>
      <c r="C65" s="111"/>
      <c r="D65" s="105"/>
      <c r="E65" s="125"/>
      <c r="F65" s="8"/>
      <c r="G65" s="8"/>
      <c r="H65" s="8"/>
      <c r="I65" s="173"/>
      <c r="J65" s="8"/>
      <c r="K65" s="8"/>
    </row>
    <row r="66" spans="1:11">
      <c r="B66" s="123" t="s">
        <v>181</v>
      </c>
      <c r="C66" s="111"/>
      <c r="D66" s="200">
        <f>SUM(D67:D70)</f>
        <v>79.599999999999994</v>
      </c>
      <c r="E66" s="126">
        <f>SUM(E67:E70)</f>
        <v>7.96</v>
      </c>
      <c r="F66" s="8"/>
      <c r="G66" s="8"/>
      <c r="H66" s="8"/>
      <c r="I66" s="173"/>
      <c r="J66" s="8"/>
      <c r="K66" s="8"/>
    </row>
    <row r="67" spans="1:11">
      <c r="B67" s="104" t="s">
        <v>182</v>
      </c>
      <c r="D67" s="105">
        <f>D50+D59+D56</f>
        <v>70.400000000000006</v>
      </c>
      <c r="E67" s="125">
        <f>D67/10</f>
        <v>7.0400000000000009</v>
      </c>
      <c r="F67" s="7">
        <f>$E$67*C23*F45</f>
        <v>296.52480000000003</v>
      </c>
      <c r="G67" s="7">
        <f>$E$67*D23*G45</f>
        <v>612.62080000000003</v>
      </c>
      <c r="H67" s="7">
        <f>$E$67*E23*H45</f>
        <v>-30.272000000000006</v>
      </c>
      <c r="I67" s="173">
        <f>$E$67*E23*I45</f>
        <v>-136.22400000000002</v>
      </c>
      <c r="J67" s="7">
        <f>SUM(F67:H67)</f>
        <v>878.87360000000001</v>
      </c>
      <c r="K67" s="7">
        <f>SUM(F67:I67)</f>
        <v>742.64959999999996</v>
      </c>
    </row>
    <row r="68" spans="1:11">
      <c r="B68" s="104" t="s">
        <v>183</v>
      </c>
      <c r="D68" s="105">
        <f>D51</f>
        <v>8.5</v>
      </c>
      <c r="E68" s="125">
        <f t="shared" ref="E68:E70" si="8">D68/10</f>
        <v>0.85</v>
      </c>
      <c r="F68" s="7">
        <f>$E$68*C24*F45</f>
        <v>28.109500000000001</v>
      </c>
      <c r="G68" s="7">
        <f>$E$68*D24*G45</f>
        <v>73.966999999999999</v>
      </c>
      <c r="H68" s="7">
        <f>$E$68*E24*H45</f>
        <v>-3.6549999999999998</v>
      </c>
      <c r="I68" s="173">
        <f>$E$68*E24*I45</f>
        <v>-16.447499999999998</v>
      </c>
      <c r="J68" s="7">
        <f>SUM(F68:H68)</f>
        <v>98.421499999999995</v>
      </c>
      <c r="K68" s="7">
        <f t="shared" ref="K68" si="9">SUM(F68:I68)</f>
        <v>81.97399999999999</v>
      </c>
    </row>
    <row r="69" spans="1:11">
      <c r="B69" s="104" t="s">
        <v>218</v>
      </c>
      <c r="D69" s="105">
        <f>D52</f>
        <v>0.6</v>
      </c>
      <c r="E69" s="125">
        <f t="shared" si="8"/>
        <v>0.06</v>
      </c>
      <c r="F69" s="7"/>
      <c r="G69" s="7"/>
      <c r="H69" s="7"/>
      <c r="I69" s="173"/>
      <c r="J69" s="7"/>
      <c r="K69" s="7"/>
    </row>
    <row r="70" spans="1:11">
      <c r="B70" s="104" t="s">
        <v>219</v>
      </c>
      <c r="D70" s="105">
        <f>D53</f>
        <v>0.1</v>
      </c>
      <c r="E70" s="125">
        <f t="shared" si="8"/>
        <v>0.01</v>
      </c>
      <c r="F70" s="7"/>
      <c r="G70" s="7"/>
      <c r="H70" s="7"/>
      <c r="I70" s="173"/>
      <c r="J70" s="7"/>
      <c r="K70" s="7"/>
    </row>
    <row r="71" spans="1:11">
      <c r="B71" s="104"/>
      <c r="C71" s="111"/>
      <c r="D71" s="105"/>
      <c r="E71" s="122"/>
      <c r="F71" s="7"/>
      <c r="G71" s="7"/>
      <c r="H71" s="7"/>
      <c r="I71" s="173"/>
      <c r="J71" s="7"/>
      <c r="K71" s="7"/>
    </row>
    <row r="72" spans="1:11">
      <c r="B72" s="131" t="s">
        <v>232</v>
      </c>
      <c r="C72" s="132"/>
      <c r="D72" s="214">
        <f>D73+D74</f>
        <v>8.0150310000000005</v>
      </c>
      <c r="E72" s="133">
        <f>E73+E74</f>
        <v>0.80150310000000002</v>
      </c>
      <c r="F72" s="135"/>
      <c r="G72" s="135"/>
      <c r="H72" s="135"/>
      <c r="I72" s="176"/>
      <c r="J72" s="135">
        <f>J73</f>
        <v>57.449454351</v>
      </c>
      <c r="K72" s="135">
        <f>K73</f>
        <v>71.435673410999996</v>
      </c>
    </row>
    <row r="73" spans="1:11">
      <c r="B73" s="104" t="s">
        <v>230</v>
      </c>
      <c r="C73" s="111"/>
      <c r="D73" s="105">
        <f>4.360547+2.7032</f>
        <v>7.0637470000000002</v>
      </c>
      <c r="E73" s="122">
        <f>D73/10</f>
        <v>0.70637470000000002</v>
      </c>
      <c r="F73" s="7">
        <f>$E$73*C40</f>
        <v>6.1595873840000008</v>
      </c>
      <c r="G73" s="7">
        <f>$E$73*D40*G45</f>
        <v>48.181818286999999</v>
      </c>
      <c r="H73" s="7">
        <f>$E$73*E40*H45</f>
        <v>3.10804868</v>
      </c>
      <c r="I73" s="173">
        <f>$E$73*E40*I45</f>
        <v>13.98621906</v>
      </c>
      <c r="J73" s="7">
        <f>SUM(F73:H73)</f>
        <v>57.449454351</v>
      </c>
      <c r="K73" s="7">
        <f t="shared" ref="K73" si="10">SUM(F73:I73)</f>
        <v>71.435673410999996</v>
      </c>
    </row>
    <row r="74" spans="1:11">
      <c r="B74" s="104" t="s">
        <v>231</v>
      </c>
      <c r="C74" s="111"/>
      <c r="D74" s="105">
        <f>0.587214+0.36407</f>
        <v>0.95128400000000002</v>
      </c>
      <c r="E74" s="122">
        <f>D74/10</f>
        <v>9.5128400000000002E-2</v>
      </c>
      <c r="F74" s="7"/>
      <c r="G74" s="7"/>
      <c r="H74" s="7"/>
      <c r="I74" s="7"/>
      <c r="J74" s="7"/>
      <c r="K74" s="7"/>
    </row>
    <row r="75" spans="1:11" ht="6" customHeight="1">
      <c r="B75" s="110"/>
      <c r="C75" s="108"/>
      <c r="D75" s="108"/>
      <c r="E75" s="108"/>
      <c r="F75" s="127"/>
      <c r="G75" s="109"/>
      <c r="H75" s="109"/>
      <c r="I75" s="109"/>
      <c r="J75" s="175"/>
      <c r="K75" s="108"/>
    </row>
    <row r="76" spans="1:11">
      <c r="B76" s="101"/>
      <c r="C76" s="99"/>
      <c r="D76" s="99"/>
      <c r="E76" s="99"/>
      <c r="F76" s="97"/>
      <c r="G76" s="97"/>
      <c r="H76" s="97"/>
      <c r="I76" s="97"/>
      <c r="J76" s="99"/>
      <c r="K76" s="99"/>
    </row>
    <row r="77" spans="1:11">
      <c r="B77" s="101"/>
      <c r="C77" s="99"/>
      <c r="D77" s="99"/>
      <c r="E77" s="99"/>
      <c r="F77" s="97"/>
      <c r="G77" s="97"/>
    </row>
    <row r="78" spans="1:11" ht="18">
      <c r="A78" s="95" t="s">
        <v>158</v>
      </c>
      <c r="B78" s="4" t="s">
        <v>27</v>
      </c>
      <c r="C78" s="16"/>
      <c r="D78" s="5"/>
      <c r="E78" s="5"/>
    </row>
    <row r="79" spans="1:11">
      <c r="C79" s="107"/>
    </row>
    <row r="80" spans="1:11">
      <c r="B80" s="3" t="s">
        <v>28</v>
      </c>
      <c r="C80" s="56">
        <v>9703300</v>
      </c>
      <c r="D80" s="21" t="s">
        <v>5</v>
      </c>
    </row>
    <row r="81" spans="2:32">
      <c r="B81" s="3" t="s">
        <v>29</v>
      </c>
      <c r="C81" s="49">
        <f>C80*C82</f>
        <v>291099000</v>
      </c>
      <c r="D81" s="21" t="s">
        <v>5</v>
      </c>
      <c r="F81" s="10">
        <f>C81/1000000</f>
        <v>291.09899999999999</v>
      </c>
      <c r="G81" s="21" t="s">
        <v>4</v>
      </c>
    </row>
    <row r="82" spans="2:32">
      <c r="B82" s="3" t="s">
        <v>30</v>
      </c>
      <c r="C82" s="6">
        <v>30</v>
      </c>
      <c r="D82" s="21" t="s">
        <v>30</v>
      </c>
    </row>
    <row r="83" spans="2:32">
      <c r="D83" s="21"/>
    </row>
    <row r="84" spans="2:32">
      <c r="B84" s="3" t="s">
        <v>31</v>
      </c>
      <c r="C84" s="56">
        <v>15</v>
      </c>
      <c r="D84" s="21" t="s">
        <v>34</v>
      </c>
      <c r="E84" s="3">
        <v>2023</v>
      </c>
    </row>
    <row r="85" spans="2:32">
      <c r="B85" s="3" t="s">
        <v>33</v>
      </c>
      <c r="C85" s="56">
        <v>599.23</v>
      </c>
      <c r="D85" s="21" t="s">
        <v>34</v>
      </c>
      <c r="E85" s="3">
        <v>2023</v>
      </c>
    </row>
    <row r="86" spans="2:32">
      <c r="B86" s="3" t="s">
        <v>38</v>
      </c>
      <c r="C86" s="10">
        <f>C85/25</f>
        <v>23.969200000000001</v>
      </c>
      <c r="D86" s="21" t="s">
        <v>34</v>
      </c>
    </row>
    <row r="87" spans="2:32">
      <c r="C87" s="10"/>
      <c r="D87" s="21"/>
    </row>
    <row r="88" spans="2:32">
      <c r="B88" s="3" t="s">
        <v>69</v>
      </c>
      <c r="C88" s="10"/>
      <c r="D88" s="21"/>
    </row>
    <row r="89" spans="2:32">
      <c r="B89" s="3" t="s">
        <v>39</v>
      </c>
      <c r="C89" s="10">
        <f>SUM(C93:AF93)</f>
        <v>3638.7375000000011</v>
      </c>
      <c r="D89" s="21"/>
    </row>
    <row r="90" spans="2:32">
      <c r="B90" s="3" t="s">
        <v>40</v>
      </c>
      <c r="C90" s="10">
        <f>SUM(C94:AF94)</f>
        <v>75588.609966999997</v>
      </c>
      <c r="D90" s="21"/>
    </row>
    <row r="91" spans="2:32">
      <c r="M91" s="3">
        <v>11</v>
      </c>
      <c r="R91" s="3" t="s">
        <v>158</v>
      </c>
    </row>
    <row r="92" spans="2:32">
      <c r="B92" s="191" t="s">
        <v>30</v>
      </c>
      <c r="C92" s="42">
        <v>2025</v>
      </c>
      <c r="D92" s="43">
        <f t="shared" ref="D92:AF92" si="11">C92+1</f>
        <v>2026</v>
      </c>
      <c r="E92" s="43">
        <f t="shared" si="11"/>
        <v>2027</v>
      </c>
      <c r="F92" s="43">
        <f t="shared" si="11"/>
        <v>2028</v>
      </c>
      <c r="G92" s="43">
        <f t="shared" si="11"/>
        <v>2029</v>
      </c>
      <c r="H92" s="43">
        <f t="shared" si="11"/>
        <v>2030</v>
      </c>
      <c r="I92" s="43">
        <f t="shared" si="11"/>
        <v>2031</v>
      </c>
      <c r="J92" s="43">
        <f t="shared" si="11"/>
        <v>2032</v>
      </c>
      <c r="K92" s="43">
        <f t="shared" si="11"/>
        <v>2033</v>
      </c>
      <c r="L92" s="43">
        <f t="shared" si="11"/>
        <v>2034</v>
      </c>
      <c r="M92" s="43">
        <f t="shared" si="11"/>
        <v>2035</v>
      </c>
      <c r="N92" s="43">
        <f t="shared" si="11"/>
        <v>2036</v>
      </c>
      <c r="O92" s="43">
        <f t="shared" si="11"/>
        <v>2037</v>
      </c>
      <c r="P92" s="43">
        <f t="shared" si="11"/>
        <v>2038</v>
      </c>
      <c r="Q92" s="43">
        <f t="shared" si="11"/>
        <v>2039</v>
      </c>
      <c r="R92" s="43">
        <f t="shared" si="11"/>
        <v>2040</v>
      </c>
      <c r="S92" s="43">
        <f t="shared" si="11"/>
        <v>2041</v>
      </c>
      <c r="T92" s="43">
        <f t="shared" si="11"/>
        <v>2042</v>
      </c>
      <c r="U92" s="43">
        <f t="shared" si="11"/>
        <v>2043</v>
      </c>
      <c r="V92" s="43">
        <f t="shared" si="11"/>
        <v>2044</v>
      </c>
      <c r="W92" s="44">
        <f t="shared" si="11"/>
        <v>2045</v>
      </c>
      <c r="X92" s="44">
        <f t="shared" si="11"/>
        <v>2046</v>
      </c>
      <c r="Y92" s="44">
        <f t="shared" si="11"/>
        <v>2047</v>
      </c>
      <c r="Z92" s="44">
        <f t="shared" si="11"/>
        <v>2048</v>
      </c>
      <c r="AA92" s="44">
        <f t="shared" si="11"/>
        <v>2049</v>
      </c>
      <c r="AB92" s="44">
        <f t="shared" si="11"/>
        <v>2050</v>
      </c>
      <c r="AC92" s="44">
        <f t="shared" si="11"/>
        <v>2051</v>
      </c>
      <c r="AD92" s="44">
        <f t="shared" si="11"/>
        <v>2052</v>
      </c>
      <c r="AE92" s="44">
        <f t="shared" si="11"/>
        <v>2053</v>
      </c>
      <c r="AF92" s="44">
        <f t="shared" si="11"/>
        <v>2054</v>
      </c>
    </row>
    <row r="93" spans="2:32">
      <c r="B93" s="3" t="s">
        <v>36</v>
      </c>
      <c r="C93" s="10">
        <f t="shared" ref="C93:AA93" si="12">($C$80*$C$84)/1000000</f>
        <v>145.54949999999999</v>
      </c>
      <c r="D93" s="10">
        <f t="shared" si="12"/>
        <v>145.54949999999999</v>
      </c>
      <c r="E93" s="10">
        <f t="shared" si="12"/>
        <v>145.54949999999999</v>
      </c>
      <c r="F93" s="10">
        <f t="shared" si="12"/>
        <v>145.54949999999999</v>
      </c>
      <c r="G93" s="10">
        <f t="shared" si="12"/>
        <v>145.54949999999999</v>
      </c>
      <c r="H93" s="10">
        <f t="shared" si="12"/>
        <v>145.54949999999999</v>
      </c>
      <c r="I93" s="10">
        <f t="shared" si="12"/>
        <v>145.54949999999999</v>
      </c>
      <c r="J93" s="10">
        <f t="shared" si="12"/>
        <v>145.54949999999999</v>
      </c>
      <c r="K93" s="10">
        <f t="shared" si="12"/>
        <v>145.54949999999999</v>
      </c>
      <c r="L93" s="10">
        <f t="shared" si="12"/>
        <v>145.54949999999999</v>
      </c>
      <c r="M93" s="10">
        <f t="shared" si="12"/>
        <v>145.54949999999999</v>
      </c>
      <c r="N93" s="10">
        <f t="shared" si="12"/>
        <v>145.54949999999999</v>
      </c>
      <c r="O93" s="10">
        <f t="shared" si="12"/>
        <v>145.54949999999999</v>
      </c>
      <c r="P93" s="10">
        <f t="shared" si="12"/>
        <v>145.54949999999999</v>
      </c>
      <c r="Q93" s="10">
        <f t="shared" si="12"/>
        <v>145.54949999999999</v>
      </c>
      <c r="R93" s="10">
        <f t="shared" si="12"/>
        <v>145.54949999999999</v>
      </c>
      <c r="S93" s="10">
        <f t="shared" si="12"/>
        <v>145.54949999999999</v>
      </c>
      <c r="T93" s="10">
        <f t="shared" si="12"/>
        <v>145.54949999999999</v>
      </c>
      <c r="U93" s="10">
        <f t="shared" si="12"/>
        <v>145.54949999999999</v>
      </c>
      <c r="V93" s="10">
        <f t="shared" si="12"/>
        <v>145.54949999999999</v>
      </c>
      <c r="W93" s="10">
        <f t="shared" si="12"/>
        <v>145.54949999999999</v>
      </c>
      <c r="X93" s="10">
        <f t="shared" si="12"/>
        <v>145.54949999999999</v>
      </c>
      <c r="Y93" s="10">
        <f t="shared" si="12"/>
        <v>145.54949999999999</v>
      </c>
      <c r="Z93" s="10">
        <f t="shared" si="12"/>
        <v>145.54949999999999</v>
      </c>
      <c r="AA93" s="10">
        <f t="shared" si="12"/>
        <v>145.54949999999999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</row>
    <row r="94" spans="2:32">
      <c r="B94" s="3" t="s">
        <v>35</v>
      </c>
      <c r="C94" s="10">
        <f t="shared" ref="C94:AF94" si="13">(C95*$C$80)/1000000</f>
        <v>5814.5084589999997</v>
      </c>
      <c r="D94" s="10">
        <f t="shared" si="13"/>
        <v>5581.9281206400001</v>
      </c>
      <c r="E94" s="10">
        <f t="shared" si="13"/>
        <v>5349.3477822799996</v>
      </c>
      <c r="F94" s="10">
        <f t="shared" si="13"/>
        <v>5116.76744392</v>
      </c>
      <c r="G94" s="10">
        <f t="shared" si="13"/>
        <v>4884.1871055600004</v>
      </c>
      <c r="H94" s="10">
        <f t="shared" si="13"/>
        <v>4651.6067671999999</v>
      </c>
      <c r="I94" s="10">
        <f t="shared" si="13"/>
        <v>4419.0264288400003</v>
      </c>
      <c r="J94" s="10">
        <f t="shared" si="13"/>
        <v>4186.4460904799998</v>
      </c>
      <c r="K94" s="10">
        <f t="shared" si="13"/>
        <v>3953.8657521199998</v>
      </c>
      <c r="L94" s="10">
        <f t="shared" si="13"/>
        <v>3721.2854137600002</v>
      </c>
      <c r="M94" s="10">
        <f t="shared" si="13"/>
        <v>3488.7050754000002</v>
      </c>
      <c r="N94" s="10">
        <f t="shared" si="13"/>
        <v>3256.1247370400001</v>
      </c>
      <c r="O94" s="10">
        <f t="shared" si="13"/>
        <v>3023.5443986800001</v>
      </c>
      <c r="P94" s="10">
        <f t="shared" si="13"/>
        <v>2790.96406032</v>
      </c>
      <c r="Q94" s="10">
        <f t="shared" si="13"/>
        <v>2558.38372196</v>
      </c>
      <c r="R94" s="10">
        <f t="shared" si="13"/>
        <v>2325.8033836</v>
      </c>
      <c r="S94" s="10">
        <f t="shared" si="13"/>
        <v>2093.2230452399999</v>
      </c>
      <c r="T94" s="10">
        <f t="shared" si="13"/>
        <v>1860.6427068800001</v>
      </c>
      <c r="U94" s="10">
        <f t="shared" si="13"/>
        <v>1628.0623685200001</v>
      </c>
      <c r="V94" s="10">
        <f t="shared" si="13"/>
        <v>1395.48203016</v>
      </c>
      <c r="W94" s="10">
        <f t="shared" si="13"/>
        <v>1162.9016918</v>
      </c>
      <c r="X94" s="10">
        <f t="shared" si="13"/>
        <v>930.32135344000005</v>
      </c>
      <c r="Y94" s="10">
        <f t="shared" si="13"/>
        <v>697.74101508000001</v>
      </c>
      <c r="Z94" s="10">
        <f t="shared" si="13"/>
        <v>465.16067672000003</v>
      </c>
      <c r="AA94" s="10">
        <f t="shared" si="13"/>
        <v>232.58033836000001</v>
      </c>
      <c r="AB94" s="10">
        <f t="shared" si="13"/>
        <v>0</v>
      </c>
      <c r="AC94" s="10">
        <f t="shared" si="13"/>
        <v>0</v>
      </c>
      <c r="AD94" s="10">
        <f t="shared" si="13"/>
        <v>0</v>
      </c>
      <c r="AE94" s="10">
        <f t="shared" si="13"/>
        <v>0</v>
      </c>
      <c r="AF94" s="10">
        <f t="shared" si="13"/>
        <v>0</v>
      </c>
    </row>
    <row r="95" spans="2:32">
      <c r="B95" s="3" t="s">
        <v>37</v>
      </c>
      <c r="C95" s="10">
        <f>C85</f>
        <v>599.23</v>
      </c>
      <c r="D95" s="10">
        <f t="shared" ref="D95:AA95" si="14">C95-$C$86</f>
        <v>575.26080000000002</v>
      </c>
      <c r="E95" s="10">
        <f t="shared" si="14"/>
        <v>551.29160000000002</v>
      </c>
      <c r="F95" s="10">
        <f t="shared" si="14"/>
        <v>527.32240000000002</v>
      </c>
      <c r="G95" s="10">
        <f t="shared" si="14"/>
        <v>503.35320000000002</v>
      </c>
      <c r="H95" s="10">
        <f t="shared" si="14"/>
        <v>479.38400000000001</v>
      </c>
      <c r="I95" s="10">
        <f t="shared" si="14"/>
        <v>455.41480000000001</v>
      </c>
      <c r="J95" s="10">
        <f t="shared" si="14"/>
        <v>431.44560000000001</v>
      </c>
      <c r="K95" s="10">
        <f t="shared" si="14"/>
        <v>407.47640000000001</v>
      </c>
      <c r="L95" s="10">
        <f t="shared" si="14"/>
        <v>383.50720000000001</v>
      </c>
      <c r="M95" s="10">
        <f t="shared" si="14"/>
        <v>359.53800000000001</v>
      </c>
      <c r="N95" s="10">
        <f t="shared" si="14"/>
        <v>335.56880000000001</v>
      </c>
      <c r="O95" s="10">
        <f t="shared" si="14"/>
        <v>311.59960000000001</v>
      </c>
      <c r="P95" s="10">
        <f t="shared" si="14"/>
        <v>287.63040000000001</v>
      </c>
      <c r="Q95" s="10">
        <f t="shared" si="14"/>
        <v>263.66120000000001</v>
      </c>
      <c r="R95" s="10">
        <f t="shared" si="14"/>
        <v>239.69200000000001</v>
      </c>
      <c r="S95" s="10">
        <f t="shared" si="14"/>
        <v>215.72280000000001</v>
      </c>
      <c r="T95" s="10">
        <f t="shared" si="14"/>
        <v>191.75360000000001</v>
      </c>
      <c r="U95" s="10">
        <f t="shared" si="14"/>
        <v>167.78440000000001</v>
      </c>
      <c r="V95" s="10">
        <f t="shared" si="14"/>
        <v>143.8152</v>
      </c>
      <c r="W95" s="10">
        <f t="shared" si="14"/>
        <v>119.846</v>
      </c>
      <c r="X95" s="10">
        <f t="shared" si="14"/>
        <v>95.876800000000003</v>
      </c>
      <c r="Y95" s="10">
        <f t="shared" si="14"/>
        <v>71.907600000000002</v>
      </c>
      <c r="Z95" s="10">
        <f t="shared" si="14"/>
        <v>47.938400000000001</v>
      </c>
      <c r="AA95" s="10">
        <f t="shared" si="14"/>
        <v>23.969200000000001</v>
      </c>
      <c r="AB95" s="10">
        <v>0</v>
      </c>
      <c r="AC95" s="10">
        <f>0</f>
        <v>0</v>
      </c>
      <c r="AD95" s="10">
        <v>0</v>
      </c>
      <c r="AE95" s="10">
        <v>0</v>
      </c>
      <c r="AF95" s="10">
        <v>0</v>
      </c>
    </row>
    <row r="97" spans="1:8">
      <c r="B97" s="101"/>
      <c r="C97" s="99"/>
      <c r="D97" s="99"/>
      <c r="E97" s="99"/>
      <c r="F97" s="97"/>
      <c r="G97" s="97"/>
    </row>
    <row r="98" spans="1:8" ht="18">
      <c r="A98" s="95" t="s">
        <v>158</v>
      </c>
      <c r="B98" s="4" t="s">
        <v>6</v>
      </c>
      <c r="C98" s="5"/>
      <c r="D98" s="5"/>
      <c r="E98" s="5"/>
      <c r="F98" s="6"/>
      <c r="G98" s="6"/>
    </row>
    <row r="99" spans="1:8">
      <c r="C99" s="41">
        <v>1</v>
      </c>
      <c r="D99" s="41">
        <v>19</v>
      </c>
      <c r="E99" s="41">
        <v>10</v>
      </c>
      <c r="F99" s="41">
        <v>45</v>
      </c>
    </row>
    <row r="100" spans="1:8">
      <c r="B100" s="67" t="s">
        <v>253</v>
      </c>
      <c r="C100" s="63"/>
      <c r="D100" s="63"/>
      <c r="E100" s="63"/>
      <c r="F100" s="63"/>
      <c r="G100" s="82"/>
      <c r="H100" s="63"/>
    </row>
    <row r="101" spans="1:8">
      <c r="B101" s="9" t="s">
        <v>135</v>
      </c>
      <c r="C101" s="63" t="s">
        <v>32</v>
      </c>
      <c r="D101" s="63" t="s">
        <v>41</v>
      </c>
      <c r="E101" s="63" t="s">
        <v>200</v>
      </c>
      <c r="F101" s="63" t="s">
        <v>43</v>
      </c>
      <c r="G101" s="83" t="s">
        <v>149</v>
      </c>
      <c r="H101" s="72" t="s">
        <v>127</v>
      </c>
    </row>
    <row r="102" spans="1:8" ht="5" customHeight="1">
      <c r="C102" s="7"/>
      <c r="D102" s="7"/>
      <c r="E102" s="7"/>
      <c r="F102" s="7"/>
      <c r="G102" s="84"/>
      <c r="H102" s="73"/>
    </row>
    <row r="103" spans="1:8">
      <c r="B103" s="3" t="s">
        <v>223</v>
      </c>
      <c r="C103" s="7">
        <f>C118*C119+C122*C123+C126*C127+C130*C131+C134*C135+C138*C139+C142*C143</f>
        <v>-25.623000000000005</v>
      </c>
      <c r="D103" s="7">
        <f>C103*19</f>
        <v>-486.8370000000001</v>
      </c>
      <c r="E103" s="7">
        <f>C103*10</f>
        <v>-256.23</v>
      </c>
      <c r="F103" s="7">
        <f>C103*45</f>
        <v>-1153.0350000000003</v>
      </c>
      <c r="G103" s="84">
        <f>SUM(C103:E103)</f>
        <v>-768.69000000000017</v>
      </c>
      <c r="H103" s="73">
        <f>SUM(C103:F103)</f>
        <v>-1921.7250000000004</v>
      </c>
    </row>
    <row r="104" spans="1:8" ht="5" customHeight="1">
      <c r="C104" s="7"/>
      <c r="D104" s="7"/>
      <c r="E104" s="7"/>
      <c r="F104" s="7"/>
      <c r="G104" s="84"/>
      <c r="H104" s="73"/>
    </row>
    <row r="105" spans="1:8" ht="5" customHeight="1">
      <c r="C105" s="7"/>
      <c r="D105" s="7"/>
      <c r="E105" s="7"/>
      <c r="F105" s="7"/>
      <c r="G105" s="84"/>
      <c r="H105" s="73"/>
    </row>
    <row r="106" spans="1:8">
      <c r="B106" s="71" t="s">
        <v>248</v>
      </c>
      <c r="C106" s="178">
        <f t="shared" ref="C106:H106" si="15">C103+C104</f>
        <v>-25.623000000000005</v>
      </c>
      <c r="D106" s="178">
        <f t="shared" si="15"/>
        <v>-486.8370000000001</v>
      </c>
      <c r="E106" s="178">
        <f t="shared" si="15"/>
        <v>-256.23</v>
      </c>
      <c r="F106" s="178">
        <f t="shared" si="15"/>
        <v>-1153.0350000000003</v>
      </c>
      <c r="G106" s="189">
        <f t="shared" si="15"/>
        <v>-768.69000000000017</v>
      </c>
      <c r="H106" s="190">
        <f t="shared" si="15"/>
        <v>-1921.7250000000004</v>
      </c>
    </row>
    <row r="107" spans="1:8" ht="5" customHeight="1">
      <c r="C107" s="7"/>
      <c r="D107" s="7"/>
      <c r="E107" s="7"/>
      <c r="F107" s="7"/>
      <c r="G107" s="84"/>
      <c r="H107" s="73"/>
    </row>
    <row r="108" spans="1:8">
      <c r="B108" s="3" t="s">
        <v>129</v>
      </c>
      <c r="C108" s="7">
        <f>'Beregning v2'!C93</f>
        <v>145.54949999999999</v>
      </c>
      <c r="D108" s="7">
        <f>SUM('Beregning v2'!D93:V93)</f>
        <v>2765.4405000000006</v>
      </c>
      <c r="E108" s="7">
        <f>SUM('Beregning v2'!W93:AF93)</f>
        <v>727.74749999999995</v>
      </c>
      <c r="F108" s="7">
        <v>0</v>
      </c>
      <c r="G108" s="84">
        <f>SUM(C108:E108)</f>
        <v>3638.7375000000006</v>
      </c>
      <c r="H108" s="73">
        <f>SUM(C108:F108)</f>
        <v>3638.7375000000006</v>
      </c>
    </row>
    <row r="109" spans="1:8" ht="5" customHeight="1">
      <c r="C109" s="7"/>
      <c r="D109" s="7"/>
      <c r="E109" s="7"/>
      <c r="F109" s="7"/>
      <c r="G109" s="84"/>
      <c r="H109" s="73"/>
    </row>
    <row r="110" spans="1:8">
      <c r="B110" s="3" t="s">
        <v>130</v>
      </c>
      <c r="C110" s="7">
        <f>'Beregning v2'!C94</f>
        <v>5814.5084589999997</v>
      </c>
      <c r="D110" s="7">
        <f>SUM('Beregning v2'!D94:V94)</f>
        <v>66285.396432599999</v>
      </c>
      <c r="E110" s="7">
        <f>SUM('Beregning v2'!W94:AF94)</f>
        <v>3488.7050754000002</v>
      </c>
      <c r="F110" s="7">
        <v>0</v>
      </c>
      <c r="G110" s="84">
        <f>SUM(C110:E110)</f>
        <v>75588.609966999997</v>
      </c>
      <c r="H110" s="73">
        <f>SUM(C110:F110)</f>
        <v>75588.609966999997</v>
      </c>
    </row>
    <row r="111" spans="1:8" ht="5" customHeight="1">
      <c r="C111" s="7"/>
      <c r="D111" s="7"/>
      <c r="E111" s="7"/>
      <c r="F111" s="7"/>
      <c r="G111" s="84"/>
      <c r="H111" s="73"/>
    </row>
    <row r="112" spans="1:8">
      <c r="B112" s="69" t="s">
        <v>131</v>
      </c>
      <c r="C112" s="192">
        <f>C106+C108</f>
        <v>119.92649999999999</v>
      </c>
      <c r="D112" s="192">
        <f>D106+D108</f>
        <v>2278.6035000000006</v>
      </c>
      <c r="E112" s="192">
        <f>E106+E108</f>
        <v>471.51749999999993</v>
      </c>
      <c r="F112" s="192">
        <f>F106+F108</f>
        <v>-1153.0350000000003</v>
      </c>
      <c r="G112" s="193">
        <f>SUM(C112:E112)</f>
        <v>2870.0475000000006</v>
      </c>
      <c r="H112" s="194">
        <f>H106+H108</f>
        <v>1717.0125000000003</v>
      </c>
    </row>
    <row r="113" spans="2:9" ht="5" customHeight="1">
      <c r="B113" s="70"/>
      <c r="C113" s="8"/>
      <c r="D113" s="8"/>
      <c r="E113" s="8"/>
      <c r="F113" s="8"/>
      <c r="G113" s="185"/>
      <c r="H113" s="186"/>
    </row>
    <row r="114" spans="2:9">
      <c r="B114" s="71" t="s">
        <v>132</v>
      </c>
      <c r="C114" s="178">
        <f>C106+C110</f>
        <v>5788.8854590000001</v>
      </c>
      <c r="D114" s="178">
        <f>D106+D110</f>
        <v>65798.559432599999</v>
      </c>
      <c r="E114" s="178">
        <f>E106+E110</f>
        <v>3232.4750754000002</v>
      </c>
      <c r="F114" s="178">
        <f>F106+F110</f>
        <v>-1153.0350000000003</v>
      </c>
      <c r="G114" s="189">
        <f>SUM(C114:E114)</f>
        <v>74819.919966999994</v>
      </c>
      <c r="H114" s="190">
        <f>H106+H110</f>
        <v>73666.884966999991</v>
      </c>
    </row>
    <row r="117" spans="2:9">
      <c r="B117" s="41" t="s">
        <v>176</v>
      </c>
      <c r="C117" s="137">
        <f>'Beregning v2'!D50+D56+D59</f>
        <v>70.400000000000006</v>
      </c>
      <c r="D117" s="21" t="s">
        <v>45</v>
      </c>
    </row>
    <row r="118" spans="2:9">
      <c r="C118" s="139">
        <f>C117/10</f>
        <v>7.0400000000000009</v>
      </c>
      <c r="D118" s="21" t="s">
        <v>47</v>
      </c>
      <c r="F118" s="3" t="s">
        <v>28</v>
      </c>
      <c r="H118" s="137">
        <f>'Beregning v2'!C80</f>
        <v>9703300</v>
      </c>
      <c r="I118" s="21" t="s">
        <v>5</v>
      </c>
    </row>
    <row r="119" spans="2:9">
      <c r="B119" s="3" t="s">
        <v>46</v>
      </c>
      <c r="C119" s="138">
        <f>'Beregning v2'!C10</f>
        <v>-3.34</v>
      </c>
      <c r="D119" s="21" t="s">
        <v>133</v>
      </c>
      <c r="F119" s="3" t="s">
        <v>30</v>
      </c>
      <c r="H119" s="9">
        <f>'Beregning v2'!C82</f>
        <v>30</v>
      </c>
      <c r="I119" s="21" t="s">
        <v>30</v>
      </c>
    </row>
    <row r="120" spans="2:9">
      <c r="C120" s="50"/>
      <c r="D120" s="21"/>
      <c r="F120" s="3" t="s">
        <v>29</v>
      </c>
      <c r="H120" s="49">
        <f>H118*H119</f>
        <v>291099000</v>
      </c>
      <c r="I120" s="21" t="s">
        <v>5</v>
      </c>
    </row>
    <row r="121" spans="2:9">
      <c r="B121" s="41" t="s">
        <v>175</v>
      </c>
      <c r="C121" s="137">
        <f>'Beregning v2'!D51</f>
        <v>8.5</v>
      </c>
      <c r="D121" s="21" t="s">
        <v>45</v>
      </c>
      <c r="F121" s="3" t="s">
        <v>4</v>
      </c>
      <c r="H121" s="171">
        <f>H120/1000000</f>
        <v>291.09899999999999</v>
      </c>
      <c r="I121" s="3" t="s">
        <v>4</v>
      </c>
    </row>
    <row r="122" spans="2:9">
      <c r="C122" s="139">
        <f>C121/10</f>
        <v>0.85</v>
      </c>
      <c r="D122" s="21" t="s">
        <v>47</v>
      </c>
    </row>
    <row r="123" spans="2:9">
      <c r="B123" s="3" t="s">
        <v>187</v>
      </c>
      <c r="C123" s="138">
        <f>'Beregning v2'!C11</f>
        <v>-1.96</v>
      </c>
      <c r="D123" s="21" t="s">
        <v>133</v>
      </c>
      <c r="F123" s="3" t="s">
        <v>31</v>
      </c>
      <c r="H123" s="137">
        <f>'Beregning v2'!C84</f>
        <v>15</v>
      </c>
      <c r="I123" s="21" t="s">
        <v>34</v>
      </c>
    </row>
    <row r="124" spans="2:9">
      <c r="C124" s="50"/>
      <c r="D124" s="21"/>
      <c r="F124" s="3" t="s">
        <v>33</v>
      </c>
      <c r="H124" s="137">
        <f>'Beregning v2'!C85</f>
        <v>599.23</v>
      </c>
      <c r="I124" s="21" t="s">
        <v>34</v>
      </c>
    </row>
    <row r="125" spans="2:9">
      <c r="B125" s="41" t="s">
        <v>207</v>
      </c>
      <c r="C125" s="137">
        <f>'Beregning v2'!D52</f>
        <v>0.6</v>
      </c>
      <c r="D125" s="21" t="s">
        <v>45</v>
      </c>
      <c r="F125" s="3" t="s">
        <v>38</v>
      </c>
      <c r="H125" s="10">
        <f>H124/25</f>
        <v>23.969200000000001</v>
      </c>
      <c r="I125" s="21" t="s">
        <v>34</v>
      </c>
    </row>
    <row r="126" spans="2:9">
      <c r="C126" s="139">
        <f>C125/10</f>
        <v>0.06</v>
      </c>
      <c r="D126" s="21" t="s">
        <v>47</v>
      </c>
    </row>
    <row r="127" spans="2:9">
      <c r="B127" s="3" t="s">
        <v>187</v>
      </c>
      <c r="C127" s="138">
        <f>'Beregning v2'!C12</f>
        <v>-1.19</v>
      </c>
      <c r="D127" s="21" t="s">
        <v>133</v>
      </c>
    </row>
    <row r="128" spans="2:9">
      <c r="C128" s="50"/>
      <c r="D128" s="21"/>
    </row>
    <row r="129" spans="2:4">
      <c r="B129" s="41" t="s">
        <v>221</v>
      </c>
      <c r="C129" s="137">
        <f>'Beregning v2'!D53</f>
        <v>0.1</v>
      </c>
      <c r="D129" s="21" t="s">
        <v>45</v>
      </c>
    </row>
    <row r="130" spans="2:4">
      <c r="C130" s="139">
        <f>C129/10</f>
        <v>0.01</v>
      </c>
      <c r="D130" s="21" t="s">
        <v>47</v>
      </c>
    </row>
    <row r="131" spans="2:4">
      <c r="B131" s="3" t="s">
        <v>187</v>
      </c>
      <c r="C131" s="138">
        <f>'Beregning v2'!C13</f>
        <v>-0.66</v>
      </c>
      <c r="D131" s="21" t="s">
        <v>133</v>
      </c>
    </row>
    <row r="132" spans="2:4">
      <c r="C132" s="50"/>
      <c r="D132" s="21"/>
    </row>
    <row r="133" spans="2:4">
      <c r="B133" s="41" t="s">
        <v>163</v>
      </c>
      <c r="C133" s="137">
        <f>'Beregning v2'!D60</f>
        <v>15.8</v>
      </c>
      <c r="D133" s="21" t="s">
        <v>45</v>
      </c>
    </row>
    <row r="134" spans="2:4">
      <c r="C134" s="139">
        <f>C133/10</f>
        <v>1.58</v>
      </c>
      <c r="D134" s="21" t="s">
        <v>47</v>
      </c>
    </row>
    <row r="135" spans="2:4">
      <c r="B135" s="3" t="s">
        <v>187</v>
      </c>
      <c r="C135" s="138">
        <f>'Beregning v2'!C17</f>
        <v>-0.14000000000000001</v>
      </c>
      <c r="D135" s="21" t="s">
        <v>133</v>
      </c>
    </row>
    <row r="136" spans="2:4">
      <c r="C136" s="50"/>
      <c r="D136" s="21"/>
    </row>
    <row r="137" spans="2:4">
      <c r="B137" s="41" t="s">
        <v>168</v>
      </c>
      <c r="C137" s="137">
        <f>'Beregning v2'!D61</f>
        <v>2.8</v>
      </c>
      <c r="D137" s="21" t="s">
        <v>45</v>
      </c>
    </row>
    <row r="138" spans="2:4">
      <c r="C138" s="139">
        <f>C137/10</f>
        <v>0.27999999999999997</v>
      </c>
      <c r="D138" s="21" t="s">
        <v>47</v>
      </c>
    </row>
    <row r="139" spans="2:4">
      <c r="B139" s="3" t="s">
        <v>187</v>
      </c>
      <c r="C139" s="138">
        <f>'Beregning v2'!C16</f>
        <v>-0.43</v>
      </c>
      <c r="D139" s="21" t="s">
        <v>133</v>
      </c>
    </row>
    <row r="140" spans="2:4">
      <c r="C140" s="50"/>
      <c r="D140" s="21"/>
    </row>
    <row r="141" spans="2:4">
      <c r="B141" s="41" t="s">
        <v>217</v>
      </c>
      <c r="C141" s="137">
        <f>'Beregning v2'!D62</f>
        <v>1.4</v>
      </c>
      <c r="D141" s="21" t="s">
        <v>45</v>
      </c>
    </row>
    <row r="142" spans="2:4">
      <c r="C142" s="139">
        <f>C141/10</f>
        <v>0.13999999999999999</v>
      </c>
      <c r="D142" s="21" t="s">
        <v>47</v>
      </c>
    </row>
    <row r="143" spans="2:4">
      <c r="B143" s="3" t="s">
        <v>187</v>
      </c>
      <c r="C143" s="138">
        <f>'Beregning v2'!C14</f>
        <v>-0.17</v>
      </c>
      <c r="D143" s="21" t="s">
        <v>133</v>
      </c>
    </row>
    <row r="144" spans="2:4">
      <c r="C144" s="50"/>
      <c r="D144" s="21"/>
    </row>
    <row r="145" spans="1:8">
      <c r="B145" s="202" t="s">
        <v>222</v>
      </c>
      <c r="C145" s="203">
        <f>C117+C121+C125+C129+C133+C137+C141-D48</f>
        <v>0</v>
      </c>
    </row>
    <row r="146" spans="1:8">
      <c r="C146" s="50"/>
      <c r="D146" s="21"/>
    </row>
    <row r="147" spans="1:8">
      <c r="C147" s="50"/>
      <c r="D147" s="21"/>
    </row>
    <row r="148" spans="1:8" ht="18">
      <c r="A148" s="95" t="s">
        <v>158</v>
      </c>
      <c r="B148" s="4" t="s">
        <v>257</v>
      </c>
      <c r="C148" s="5"/>
      <c r="D148" s="5"/>
      <c r="E148" s="5"/>
      <c r="F148" s="6"/>
      <c r="G148" s="6"/>
      <c r="H148" s="6"/>
    </row>
    <row r="150" spans="1:8">
      <c r="C150" s="3">
        <v>1</v>
      </c>
      <c r="D150" s="3">
        <v>19</v>
      </c>
      <c r="E150" s="3">
        <v>10</v>
      </c>
      <c r="F150" s="3">
        <v>45</v>
      </c>
    </row>
    <row r="151" spans="1:8">
      <c r="B151" s="67" t="s">
        <v>258</v>
      </c>
      <c r="C151" s="63"/>
      <c r="D151" s="63"/>
      <c r="E151" s="63"/>
      <c r="F151" s="63"/>
      <c r="G151" s="82"/>
      <c r="H151" s="63"/>
    </row>
    <row r="152" spans="1:8">
      <c r="B152" s="9" t="s">
        <v>137</v>
      </c>
      <c r="C152" s="63" t="s">
        <v>32</v>
      </c>
      <c r="D152" s="63" t="s">
        <v>41</v>
      </c>
      <c r="E152" s="63" t="s">
        <v>42</v>
      </c>
      <c r="F152" s="63" t="s">
        <v>43</v>
      </c>
      <c r="G152" s="83" t="s">
        <v>149</v>
      </c>
      <c r="H152" s="72" t="s">
        <v>127</v>
      </c>
    </row>
    <row r="153" spans="1:8" ht="5" customHeight="1">
      <c r="C153" s="7"/>
      <c r="D153" s="7"/>
      <c r="E153" s="7"/>
      <c r="F153" s="7"/>
      <c r="G153" s="84"/>
      <c r="H153" s="73"/>
    </row>
    <row r="154" spans="1:8">
      <c r="B154" s="6" t="s">
        <v>248</v>
      </c>
      <c r="C154" s="12">
        <f>C106</f>
        <v>-25.623000000000005</v>
      </c>
      <c r="D154" s="12">
        <f>D106</f>
        <v>-486.8370000000001</v>
      </c>
      <c r="E154" s="12">
        <f>E106</f>
        <v>-256.23</v>
      </c>
      <c r="F154" s="12">
        <f>F106</f>
        <v>-1153.0350000000003</v>
      </c>
      <c r="G154" s="86">
        <f>SUM(C154:E154)</f>
        <v>-768.69000000000017</v>
      </c>
      <c r="H154" s="75">
        <f>SUM(C154:F154)</f>
        <v>-1921.7250000000004</v>
      </c>
    </row>
    <row r="155" spans="1:8" ht="7" customHeight="1">
      <c r="C155" s="7"/>
      <c r="D155" s="7"/>
      <c r="E155" s="7"/>
      <c r="F155" s="7"/>
      <c r="G155" s="84"/>
      <c r="H155" s="73"/>
    </row>
    <row r="156" spans="1:8">
      <c r="B156" s="3" t="s">
        <v>254</v>
      </c>
      <c r="C156" s="7">
        <f>C177*C178+C183*C184+C189*C190+C195*C196</f>
        <v>326.20070000000004</v>
      </c>
      <c r="D156" s="7"/>
      <c r="E156" s="7"/>
      <c r="F156" s="7"/>
      <c r="G156" s="84">
        <f>SUM(C156:E156)</f>
        <v>326.20070000000004</v>
      </c>
      <c r="H156" s="73">
        <f>SUM(C156:F156)</f>
        <v>326.20070000000004</v>
      </c>
    </row>
    <row r="157" spans="1:8">
      <c r="B157" s="3" t="s">
        <v>255</v>
      </c>
      <c r="C157" s="7"/>
      <c r="D157" s="7">
        <f>(C177*C179+C183*C185+C189*C191+C195*C197)*D150</f>
        <v>692.67920000000004</v>
      </c>
      <c r="E157" s="7"/>
      <c r="F157" s="7"/>
      <c r="G157" s="84">
        <f>SUM(C157:E157)</f>
        <v>692.67920000000004</v>
      </c>
      <c r="H157" s="73">
        <f>SUM(C157:F157)</f>
        <v>692.67920000000004</v>
      </c>
    </row>
    <row r="158" spans="1:8">
      <c r="B158" s="3" t="s">
        <v>226</v>
      </c>
      <c r="C158" s="7"/>
      <c r="D158" s="7"/>
      <c r="E158" s="7">
        <f>(C177*C180+C183*C186+C189*C192+C195*C198)*E150</f>
        <v>-34.228000000000009</v>
      </c>
      <c r="F158" s="7"/>
      <c r="G158" s="84">
        <f>SUM(C158:E158)</f>
        <v>-34.228000000000009</v>
      </c>
      <c r="H158" s="73">
        <f>SUM(C158:F158)</f>
        <v>-34.228000000000009</v>
      </c>
    </row>
    <row r="159" spans="1:8">
      <c r="B159" s="3" t="s">
        <v>227</v>
      </c>
      <c r="C159" s="7"/>
      <c r="D159" s="7"/>
      <c r="E159" s="7"/>
      <c r="F159" s="7">
        <f>(C177*C180+C183*C186+C189*C192+C195*C198)*F150</f>
        <v>-154.02600000000001</v>
      </c>
      <c r="G159" s="84">
        <f>SUM(C159:E159)</f>
        <v>0</v>
      </c>
      <c r="H159" s="73">
        <f>SUM(C159:F159)</f>
        <v>-154.02600000000001</v>
      </c>
    </row>
    <row r="160" spans="1:8" ht="7" customHeight="1">
      <c r="C160" s="7"/>
      <c r="D160" s="7"/>
      <c r="E160" s="7"/>
      <c r="F160" s="7"/>
      <c r="G160" s="84"/>
      <c r="H160" s="73"/>
    </row>
    <row r="161" spans="2:8">
      <c r="B161" s="6" t="s">
        <v>273</v>
      </c>
      <c r="C161" s="12">
        <f t="shared" ref="C161:F161" si="16">SUM(C156:C159)</f>
        <v>326.20070000000004</v>
      </c>
      <c r="D161" s="12">
        <f t="shared" si="16"/>
        <v>692.67920000000004</v>
      </c>
      <c r="E161" s="12">
        <f t="shared" si="16"/>
        <v>-34.228000000000009</v>
      </c>
      <c r="F161" s="12">
        <f t="shared" si="16"/>
        <v>-154.02600000000001</v>
      </c>
      <c r="G161" s="86">
        <f>SUM(G156:G159)</f>
        <v>984.65190000000007</v>
      </c>
      <c r="H161" s="75">
        <f>SUM(H156:H159)</f>
        <v>830.6259</v>
      </c>
    </row>
    <row r="162" spans="2:8" ht="4" customHeight="1">
      <c r="C162" s="7"/>
      <c r="D162" s="7"/>
      <c r="E162" s="7"/>
      <c r="F162" s="7"/>
      <c r="G162" s="84"/>
      <c r="H162" s="73"/>
    </row>
    <row r="163" spans="2:8">
      <c r="B163" s="71" t="s">
        <v>274</v>
      </c>
      <c r="C163" s="178">
        <f>C161-C154</f>
        <v>351.82370000000003</v>
      </c>
      <c r="D163" s="178">
        <f t="shared" ref="D163:F163" si="17">D161-D154</f>
        <v>1179.5162</v>
      </c>
      <c r="E163" s="178">
        <f t="shared" si="17"/>
        <v>222.00200000000001</v>
      </c>
      <c r="F163" s="178">
        <f t="shared" si="17"/>
        <v>999.00900000000024</v>
      </c>
      <c r="G163" s="189">
        <f>G161-G154</f>
        <v>1753.3419000000004</v>
      </c>
      <c r="H163" s="190">
        <f>H161-H154</f>
        <v>2752.3509000000004</v>
      </c>
    </row>
    <row r="164" spans="2:8" ht="4" customHeight="1">
      <c r="C164" s="7"/>
      <c r="D164" s="7"/>
      <c r="E164" s="7"/>
      <c r="F164" s="7"/>
      <c r="G164" s="84"/>
      <c r="H164" s="73"/>
    </row>
    <row r="165" spans="2:8" ht="4" customHeight="1">
      <c r="C165" s="7"/>
      <c r="D165" s="7"/>
      <c r="E165" s="7"/>
      <c r="F165" s="7"/>
      <c r="G165" s="84"/>
      <c r="H165" s="73"/>
    </row>
    <row r="166" spans="2:8">
      <c r="B166" s="3" t="s">
        <v>129</v>
      </c>
      <c r="C166" s="7">
        <f>C108</f>
        <v>145.54949999999999</v>
      </c>
      <c r="D166" s="7">
        <f>D108</f>
        <v>2765.4405000000006</v>
      </c>
      <c r="E166" s="7">
        <f>E108</f>
        <v>727.74749999999995</v>
      </c>
      <c r="F166" s="7">
        <f>F108</f>
        <v>0</v>
      </c>
      <c r="G166" s="84">
        <f>SUM(C166:E166)</f>
        <v>3638.7375000000006</v>
      </c>
      <c r="H166" s="73">
        <f>SUM(C166:F166)</f>
        <v>3638.7375000000006</v>
      </c>
    </row>
    <row r="167" spans="2:8" ht="4" customHeight="1">
      <c r="C167" s="7"/>
      <c r="D167" s="7"/>
      <c r="E167" s="7"/>
      <c r="F167" s="7"/>
      <c r="G167" s="84"/>
      <c r="H167" s="73"/>
    </row>
    <row r="168" spans="2:8">
      <c r="B168" s="3" t="s">
        <v>130</v>
      </c>
      <c r="C168" s="7">
        <f>C110</f>
        <v>5814.5084589999997</v>
      </c>
      <c r="D168" s="7">
        <f>D110</f>
        <v>66285.396432599999</v>
      </c>
      <c r="E168" s="7">
        <f>E110</f>
        <v>3488.7050754000002</v>
      </c>
      <c r="F168" s="7">
        <f>F110</f>
        <v>0</v>
      </c>
      <c r="G168" s="84">
        <f>SUM(C168:E168)</f>
        <v>75588.609966999997</v>
      </c>
      <c r="H168" s="73">
        <f>SUM(C168:F168)</f>
        <v>75588.609966999997</v>
      </c>
    </row>
    <row r="169" spans="2:8" ht="4" customHeight="1">
      <c r="C169" s="7"/>
      <c r="D169" s="7"/>
      <c r="E169" s="7"/>
      <c r="F169" s="7"/>
      <c r="G169" s="84"/>
      <c r="H169" s="73"/>
    </row>
    <row r="170" spans="2:8">
      <c r="B170" s="179" t="s">
        <v>275</v>
      </c>
      <c r="C170" s="180">
        <f>C163+C166</f>
        <v>497.3732</v>
      </c>
      <c r="D170" s="180">
        <f t="shared" ref="D170:F170" si="18">D163+D166</f>
        <v>3944.9567000000006</v>
      </c>
      <c r="E170" s="180">
        <f t="shared" si="18"/>
        <v>949.7494999999999</v>
      </c>
      <c r="F170" s="180">
        <f t="shared" si="18"/>
        <v>999.00900000000024</v>
      </c>
      <c r="G170" s="183">
        <f>SUM(C170:E170)</f>
        <v>5392.0794000000005</v>
      </c>
      <c r="H170" s="184">
        <f>H163+H166</f>
        <v>6391.0884000000005</v>
      </c>
    </row>
    <row r="171" spans="2:8" ht="4" customHeight="1">
      <c r="B171" s="41"/>
      <c r="C171" s="8"/>
      <c r="D171" s="8"/>
      <c r="E171" s="8"/>
      <c r="F171" s="8"/>
      <c r="G171" s="185"/>
      <c r="H171" s="186"/>
    </row>
    <row r="172" spans="2:8">
      <c r="B172" s="181" t="s">
        <v>276</v>
      </c>
      <c r="C172" s="182">
        <f>C163+C168</f>
        <v>6166.3321589999996</v>
      </c>
      <c r="D172" s="182">
        <f t="shared" ref="D172:F172" si="19">D163+D168</f>
        <v>67464.912632599997</v>
      </c>
      <c r="E172" s="182">
        <f t="shared" si="19"/>
        <v>3710.7070754000001</v>
      </c>
      <c r="F172" s="182">
        <f t="shared" si="19"/>
        <v>999.00900000000024</v>
      </c>
      <c r="G172" s="187">
        <f>SUM(C172:E172)</f>
        <v>77341.951866999996</v>
      </c>
      <c r="H172" s="188">
        <f>H163+H168</f>
        <v>78340.960867000002</v>
      </c>
    </row>
    <row r="175" spans="2:8">
      <c r="B175" s="41" t="s">
        <v>168</v>
      </c>
      <c r="C175" s="41"/>
      <c r="E175" s="102"/>
    </row>
    <row r="176" spans="2:8">
      <c r="B176" s="41" t="s">
        <v>188</v>
      </c>
      <c r="C176" s="137">
        <f>'Beregning v2'!D67</f>
        <v>70.400000000000006</v>
      </c>
      <c r="D176" s="21" t="s">
        <v>45</v>
      </c>
      <c r="E176" s="102"/>
    </row>
    <row r="177" spans="2:5">
      <c r="C177" s="139">
        <f>C176/10</f>
        <v>7.0400000000000009</v>
      </c>
      <c r="D177" s="21" t="s">
        <v>159</v>
      </c>
      <c r="E177" s="102"/>
    </row>
    <row r="178" spans="2:5">
      <c r="B178" s="3" t="s">
        <v>267</v>
      </c>
      <c r="C178" s="138">
        <f>'Beregning v2'!C23</f>
        <v>42.12</v>
      </c>
      <c r="D178" s="21" t="s">
        <v>134</v>
      </c>
      <c r="E178" s="102"/>
    </row>
    <row r="179" spans="2:5">
      <c r="B179" s="3" t="s">
        <v>268</v>
      </c>
      <c r="C179" s="138">
        <f>'Beregning v2'!D23</f>
        <v>4.58</v>
      </c>
      <c r="D179" s="21" t="s">
        <v>133</v>
      </c>
      <c r="E179" s="102"/>
    </row>
    <row r="180" spans="2:5">
      <c r="B180" s="3" t="s">
        <v>189</v>
      </c>
      <c r="C180" s="138">
        <f>'Beregning v2'!E23</f>
        <v>-0.43</v>
      </c>
      <c r="D180" s="21" t="s">
        <v>133</v>
      </c>
      <c r="E180" s="102"/>
    </row>
    <row r="181" spans="2:5">
      <c r="E181" s="102"/>
    </row>
    <row r="182" spans="2:5">
      <c r="B182" s="41" t="s">
        <v>190</v>
      </c>
      <c r="C182" s="137">
        <f>'Beregning v2'!D68</f>
        <v>8.5</v>
      </c>
      <c r="D182" s="21" t="s">
        <v>45</v>
      </c>
      <c r="E182" s="102"/>
    </row>
    <row r="183" spans="2:5">
      <c r="C183" s="139">
        <f>C182/10</f>
        <v>0.85</v>
      </c>
      <c r="D183" s="21" t="s">
        <v>159</v>
      </c>
      <c r="E183" s="102"/>
    </row>
    <row r="184" spans="2:5">
      <c r="B184" s="3" t="s">
        <v>267</v>
      </c>
      <c r="C184" s="138">
        <f>'Beregning v2'!C24</f>
        <v>33.07</v>
      </c>
      <c r="D184" s="21" t="s">
        <v>134</v>
      </c>
      <c r="E184" s="102"/>
    </row>
    <row r="185" spans="2:5">
      <c r="B185" s="3" t="s">
        <v>268</v>
      </c>
      <c r="C185" s="138">
        <f>'Beregning v2'!D24</f>
        <v>4.58</v>
      </c>
      <c r="D185" s="21" t="s">
        <v>133</v>
      </c>
      <c r="E185" s="102"/>
    </row>
    <row r="186" spans="2:5">
      <c r="B186" s="3" t="s">
        <v>189</v>
      </c>
      <c r="C186" s="138">
        <f>'Beregning v2'!E24</f>
        <v>-0.43</v>
      </c>
      <c r="D186" s="21" t="s">
        <v>133</v>
      </c>
      <c r="E186" s="102"/>
    </row>
    <row r="187" spans="2:5">
      <c r="C187" s="50"/>
      <c r="D187" s="21"/>
      <c r="E187" s="102"/>
    </row>
    <row r="188" spans="2:5">
      <c r="B188" s="41" t="s">
        <v>224</v>
      </c>
      <c r="C188" s="137">
        <f>D69</f>
        <v>0.6</v>
      </c>
      <c r="D188" s="21" t="s">
        <v>45</v>
      </c>
      <c r="E188" s="102"/>
    </row>
    <row r="189" spans="2:5">
      <c r="C189" s="139">
        <f>C188/10</f>
        <v>0.06</v>
      </c>
      <c r="D189" s="21" t="s">
        <v>159</v>
      </c>
      <c r="E189" s="102"/>
    </row>
    <row r="190" spans="2:5">
      <c r="B190" s="3" t="s">
        <v>267</v>
      </c>
      <c r="C190" s="138">
        <f>C25</f>
        <v>24.25</v>
      </c>
      <c r="D190" s="21" t="s">
        <v>134</v>
      </c>
      <c r="E190" s="102"/>
    </row>
    <row r="191" spans="2:5">
      <c r="B191" s="3" t="s">
        <v>268</v>
      </c>
      <c r="C191" s="138">
        <f>D25</f>
        <v>4.58</v>
      </c>
      <c r="D191" s="21" t="s">
        <v>133</v>
      </c>
      <c r="E191" s="102"/>
    </row>
    <row r="192" spans="2:5">
      <c r="B192" s="3" t="s">
        <v>189</v>
      </c>
      <c r="C192" s="138">
        <f>E25</f>
        <v>-0.43</v>
      </c>
      <c r="D192" s="21" t="s">
        <v>133</v>
      </c>
      <c r="E192" s="102"/>
    </row>
    <row r="193" spans="1:10">
      <c r="C193" s="50"/>
      <c r="D193" s="21"/>
      <c r="E193" s="102"/>
    </row>
    <row r="194" spans="1:10">
      <c r="B194" s="41" t="s">
        <v>225</v>
      </c>
      <c r="C194" s="137">
        <f>D70</f>
        <v>0.1</v>
      </c>
      <c r="D194" s="21" t="s">
        <v>45</v>
      </c>
      <c r="E194" s="102"/>
    </row>
    <row r="195" spans="1:10">
      <c r="C195" s="139">
        <f>C194/10</f>
        <v>0.01</v>
      </c>
      <c r="D195" s="21" t="s">
        <v>159</v>
      </c>
      <c r="E195" s="102"/>
    </row>
    <row r="196" spans="1:10">
      <c r="B196" s="3" t="s">
        <v>267</v>
      </c>
      <c r="C196" s="138">
        <f>C26</f>
        <v>11.14</v>
      </c>
      <c r="D196" s="21" t="s">
        <v>134</v>
      </c>
      <c r="E196" s="102"/>
    </row>
    <row r="197" spans="1:10">
      <c r="B197" s="3" t="s">
        <v>268</v>
      </c>
      <c r="C197" s="138">
        <f>D26</f>
        <v>4.58</v>
      </c>
      <c r="D197" s="21" t="s">
        <v>133</v>
      </c>
      <c r="E197" s="102"/>
    </row>
    <row r="198" spans="1:10">
      <c r="B198" s="3" t="s">
        <v>189</v>
      </c>
      <c r="C198" s="138">
        <f>E26</f>
        <v>-0.43</v>
      </c>
      <c r="D198" s="21" t="s">
        <v>133</v>
      </c>
      <c r="E198" s="102"/>
    </row>
    <row r="199" spans="1:10">
      <c r="C199" s="50"/>
      <c r="D199" s="21"/>
      <c r="E199" s="102"/>
    </row>
    <row r="200" spans="1:10">
      <c r="B200" s="202" t="s">
        <v>222</v>
      </c>
      <c r="C200" s="204">
        <f>C176+C182+C188+C194-D64</f>
        <v>0</v>
      </c>
      <c r="D200" s="21"/>
      <c r="E200" s="102"/>
    </row>
    <row r="201" spans="1:10">
      <c r="E201" s="102"/>
    </row>
    <row r="204" spans="1:10" ht="18">
      <c r="A204" s="3" t="s">
        <v>158</v>
      </c>
      <c r="B204" s="4" t="s">
        <v>256</v>
      </c>
      <c r="C204" s="5"/>
      <c r="D204" s="5"/>
      <c r="E204" s="5"/>
    </row>
    <row r="205" spans="1:10" ht="18">
      <c r="B205" s="207"/>
      <c r="C205" s="208"/>
      <c r="D205" s="208"/>
      <c r="E205" s="208"/>
    </row>
    <row r="206" spans="1:10">
      <c r="C206" s="3">
        <v>1</v>
      </c>
      <c r="D206" s="3">
        <v>19</v>
      </c>
      <c r="E206" s="3">
        <v>10</v>
      </c>
      <c r="F206" s="3">
        <v>45</v>
      </c>
    </row>
    <row r="207" spans="1:10">
      <c r="B207" s="67" t="s">
        <v>180</v>
      </c>
      <c r="C207" s="63"/>
      <c r="D207" s="63"/>
      <c r="E207" s="63"/>
      <c r="F207" s="63"/>
      <c r="G207" s="82"/>
      <c r="H207" s="63"/>
    </row>
    <row r="208" spans="1:10">
      <c r="B208" s="9" t="s">
        <v>137</v>
      </c>
      <c r="C208" s="63" t="s">
        <v>32</v>
      </c>
      <c r="D208" s="63" t="s">
        <v>41</v>
      </c>
      <c r="E208" s="63" t="s">
        <v>42</v>
      </c>
      <c r="F208" s="63" t="s">
        <v>43</v>
      </c>
      <c r="G208" s="83" t="s">
        <v>149</v>
      </c>
      <c r="H208" s="72" t="s">
        <v>127</v>
      </c>
      <c r="J208" s="205" t="s">
        <v>228</v>
      </c>
    </row>
    <row r="209" spans="2:11" ht="5" customHeight="1">
      <c r="C209" s="7"/>
      <c r="D209" s="7"/>
      <c r="E209" s="7"/>
      <c r="F209" s="7"/>
      <c r="G209" s="84"/>
      <c r="H209" s="73"/>
    </row>
    <row r="210" spans="2:11">
      <c r="B210" s="13" t="s">
        <v>233</v>
      </c>
      <c r="C210" s="14"/>
      <c r="D210" s="14"/>
      <c r="E210" s="14"/>
      <c r="F210" s="14"/>
      <c r="G210" s="87"/>
      <c r="H210" s="76"/>
    </row>
    <row r="211" spans="2:11">
      <c r="B211" s="3" t="s">
        <v>50</v>
      </c>
      <c r="C211" s="7">
        <f>C228*C229+C236*C237</f>
        <v>6.4487777200000007</v>
      </c>
      <c r="D211" s="7"/>
      <c r="E211" s="7"/>
      <c r="F211" s="7"/>
      <c r="G211" s="84">
        <f>SUM(C211:E211)</f>
        <v>6.4487777200000007</v>
      </c>
      <c r="H211" s="73">
        <f>SUM(C211:F211)</f>
        <v>6.4487777200000007</v>
      </c>
    </row>
    <row r="212" spans="2:11">
      <c r="B212" s="3" t="s">
        <v>234</v>
      </c>
      <c r="C212" s="7"/>
      <c r="D212" s="7">
        <f>(C228*C230*D206)+(C236*C238*D206)</f>
        <v>53.676434670999996</v>
      </c>
      <c r="E212" s="7"/>
      <c r="F212" s="7"/>
      <c r="G212" s="84">
        <f>SUM(C212:E212)</f>
        <v>53.676434670999996</v>
      </c>
      <c r="H212" s="73">
        <f>SUM(C212:F212)</f>
        <v>53.676434670999996</v>
      </c>
    </row>
    <row r="213" spans="2:11">
      <c r="B213" s="3" t="s">
        <v>249</v>
      </c>
      <c r="C213" s="7"/>
      <c r="D213" s="7"/>
      <c r="E213" s="7">
        <f>(C228*C231*E206)+(C236*C239*E206)</f>
        <v>3.5266136399999999</v>
      </c>
      <c r="F213" s="7"/>
      <c r="G213" s="84">
        <f>SUM(C213:E213)</f>
        <v>3.5266136399999999</v>
      </c>
      <c r="H213" s="73">
        <f>SUM(C213:F213)</f>
        <v>3.5266136399999999</v>
      </c>
    </row>
    <row r="214" spans="2:11">
      <c r="B214" s="3" t="s">
        <v>235</v>
      </c>
      <c r="C214" s="7"/>
      <c r="D214" s="7"/>
      <c r="E214" s="7"/>
      <c r="F214" s="7">
        <f>(H228*H229)+(H228*H230*19)+(H228*H231*25)+(H236*H237)+(H236*H238*19)+(H236*H239*25)</f>
        <v>-101.53579823530001</v>
      </c>
      <c r="G214" s="84">
        <f>SUM(C214:E214)</f>
        <v>0</v>
      </c>
      <c r="H214" s="73">
        <f>SUM(C214:F214)</f>
        <v>-101.53579823530001</v>
      </c>
    </row>
    <row r="215" spans="2:11">
      <c r="B215" s="69" t="s">
        <v>138</v>
      </c>
      <c r="C215" s="12">
        <f t="shared" ref="C215:F215" si="20">SUM(C211:C214)</f>
        <v>6.4487777200000007</v>
      </c>
      <c r="D215" s="12">
        <f t="shared" si="20"/>
        <v>53.676434670999996</v>
      </c>
      <c r="E215" s="12">
        <f t="shared" si="20"/>
        <v>3.5266136399999999</v>
      </c>
      <c r="F215" s="12">
        <f t="shared" si="20"/>
        <v>-101.53579823530001</v>
      </c>
      <c r="G215" s="86">
        <f>SUM(G211:G214)</f>
        <v>63.651826030999999</v>
      </c>
      <c r="H215" s="75">
        <f>SUM(H211:H214)</f>
        <v>-37.883972204300008</v>
      </c>
    </row>
    <row r="216" spans="2:11" ht="5" customHeight="1">
      <c r="C216" s="7"/>
      <c r="D216" s="7"/>
      <c r="E216" s="7"/>
      <c r="F216" s="7"/>
      <c r="G216" s="84"/>
      <c r="H216" s="73"/>
    </row>
    <row r="217" spans="2:11">
      <c r="B217" s="13" t="s">
        <v>252</v>
      </c>
      <c r="C217" s="14"/>
      <c r="D217" s="14"/>
      <c r="E217" s="14"/>
      <c r="F217" s="14"/>
      <c r="G217" s="87"/>
      <c r="H217" s="76"/>
    </row>
    <row r="218" spans="2:11">
      <c r="B218" s="3" t="s">
        <v>12</v>
      </c>
      <c r="C218" s="7">
        <f>C343*C331/1000</f>
        <v>3217.6597988966396</v>
      </c>
      <c r="D218" s="7"/>
      <c r="E218" s="7"/>
      <c r="F218" s="7"/>
      <c r="G218" s="84">
        <f>SUM(C218:E218)</f>
        <v>3217.6597988966396</v>
      </c>
      <c r="H218" s="73">
        <f>SUM(C218:F218)</f>
        <v>3217.6597988966396</v>
      </c>
    </row>
    <row r="219" spans="2:11">
      <c r="B219" s="3" t="s">
        <v>87</v>
      </c>
      <c r="C219" s="7">
        <f>C341*C331/1000</f>
        <v>1365.9715724659202</v>
      </c>
      <c r="D219" s="7"/>
      <c r="E219" s="7"/>
      <c r="F219" s="7"/>
      <c r="G219" s="84">
        <f>SUM(C219:E219)</f>
        <v>1365.9715724659202</v>
      </c>
      <c r="H219" s="73">
        <f>SUM(C219:F219)</f>
        <v>1365.9715724659202</v>
      </c>
    </row>
    <row r="220" spans="2:11">
      <c r="B220" s="3" t="s">
        <v>88</v>
      </c>
      <c r="C220" s="7">
        <f>C361</f>
        <v>227.95589999999999</v>
      </c>
      <c r="D220" s="7"/>
      <c r="E220" s="7"/>
      <c r="F220" s="7"/>
      <c r="G220" s="84">
        <f>SUM(C220:E220)</f>
        <v>227.95589999999999</v>
      </c>
      <c r="H220" s="73">
        <f>SUM(C220:F220)</f>
        <v>227.95589999999999</v>
      </c>
      <c r="J220" s="10">
        <f>H221-H220</f>
        <v>4583.6313713625595</v>
      </c>
    </row>
    <row r="221" spans="2:11">
      <c r="B221" s="69" t="s">
        <v>89</v>
      </c>
      <c r="C221" s="12">
        <f t="shared" ref="C221:H221" si="21">SUM(C218:C220)</f>
        <v>4811.5872713625595</v>
      </c>
      <c r="D221" s="12">
        <f t="shared" si="21"/>
        <v>0</v>
      </c>
      <c r="E221" s="12">
        <f t="shared" si="21"/>
        <v>0</v>
      </c>
      <c r="F221" s="12">
        <f t="shared" si="21"/>
        <v>0</v>
      </c>
      <c r="G221" s="86">
        <f t="shared" si="21"/>
        <v>4811.5872713625595</v>
      </c>
      <c r="H221" s="75">
        <f t="shared" si="21"/>
        <v>4811.5872713625595</v>
      </c>
      <c r="J221" s="10">
        <f>H110</f>
        <v>75588.609966999997</v>
      </c>
      <c r="K221" s="10">
        <f>G223-J221</f>
        <v>-70713.370869606442</v>
      </c>
    </row>
    <row r="222" spans="2:11" ht="5" customHeight="1">
      <c r="C222" s="7"/>
      <c r="D222" s="7"/>
      <c r="E222" s="7"/>
      <c r="F222" s="7"/>
      <c r="G222" s="84"/>
      <c r="H222" s="73"/>
    </row>
    <row r="223" spans="2:11">
      <c r="B223" s="71" t="s">
        <v>48</v>
      </c>
      <c r="C223" s="68">
        <f>C215+C221</f>
        <v>4818.0360490825597</v>
      </c>
      <c r="D223" s="68">
        <f t="shared" ref="D223:F223" si="22">D215+D221</f>
        <v>53.676434670999996</v>
      </c>
      <c r="E223" s="68">
        <f t="shared" si="22"/>
        <v>3.5266136399999999</v>
      </c>
      <c r="F223" s="68">
        <f t="shared" si="22"/>
        <v>-101.53579823530001</v>
      </c>
      <c r="G223" s="85">
        <f>G215+G221</f>
        <v>4875.2390973935599</v>
      </c>
      <c r="H223" s="74">
        <f>H215+H221</f>
        <v>4773.7032991582591</v>
      </c>
      <c r="J223" s="10">
        <f>H108</f>
        <v>3638.7375000000006</v>
      </c>
      <c r="K223" s="10">
        <f>G223-J223</f>
        <v>1236.5015973935592</v>
      </c>
    </row>
    <row r="224" spans="2:11" ht="5" customHeight="1">
      <c r="C224" s="7"/>
      <c r="D224" s="7"/>
      <c r="E224" s="7"/>
      <c r="F224" s="7"/>
      <c r="G224" s="8"/>
    </row>
    <row r="225" spans="2:10" ht="5" customHeight="1">
      <c r="C225" s="7"/>
      <c r="D225" s="7"/>
      <c r="E225" s="7"/>
      <c r="F225" s="7"/>
      <c r="G225" s="8"/>
    </row>
    <row r="226" spans="2:10">
      <c r="C226" s="7"/>
      <c r="D226" s="7"/>
      <c r="E226" s="7"/>
      <c r="F226" s="7"/>
      <c r="G226" s="8"/>
    </row>
    <row r="227" spans="2:10">
      <c r="B227" s="41" t="s">
        <v>192</v>
      </c>
      <c r="C227" s="137">
        <f>'Beregning v2'!D73</f>
        <v>7.0637470000000002</v>
      </c>
      <c r="D227" s="21" t="s">
        <v>45</v>
      </c>
      <c r="E227" s="7"/>
      <c r="F227" s="41" t="s">
        <v>172</v>
      </c>
      <c r="H227" s="137">
        <f>D73</f>
        <v>7.0637470000000002</v>
      </c>
      <c r="I227" s="21" t="s">
        <v>45</v>
      </c>
    </row>
    <row r="228" spans="2:10">
      <c r="C228" s="139">
        <f>C227/10</f>
        <v>0.70637470000000002</v>
      </c>
      <c r="D228" s="21" t="s">
        <v>159</v>
      </c>
      <c r="E228" s="7"/>
      <c r="H228" s="139">
        <f>H227/10</f>
        <v>0.70637470000000002</v>
      </c>
      <c r="I228" s="21" t="s">
        <v>159</v>
      </c>
      <c r="J228" s="7"/>
    </row>
    <row r="229" spans="2:10">
      <c r="B229" s="3" t="s">
        <v>193</v>
      </c>
      <c r="C229" s="138">
        <f>'Beregning v2'!C40</f>
        <v>8.7200000000000006</v>
      </c>
      <c r="D229" s="21" t="s">
        <v>134</v>
      </c>
      <c r="E229" s="7"/>
      <c r="F229" s="3" t="s">
        <v>238</v>
      </c>
      <c r="H229" s="138">
        <f>C36</f>
        <v>-8.4888000000000012</v>
      </c>
      <c r="I229" s="21" t="s">
        <v>134</v>
      </c>
      <c r="J229" s="7">
        <f>H228*H229</f>
        <v>-5.9962735533600009</v>
      </c>
    </row>
    <row r="230" spans="2:10">
      <c r="B230" s="3" t="s">
        <v>194</v>
      </c>
      <c r="C230" s="138">
        <f>'Beregning v2'!D40</f>
        <v>3.59</v>
      </c>
      <c r="D230" s="21" t="s">
        <v>133</v>
      </c>
      <c r="E230" s="7"/>
      <c r="F230" s="3" t="s">
        <v>239</v>
      </c>
      <c r="H230" s="138">
        <f>D36</f>
        <v>-5.8157999999999994</v>
      </c>
      <c r="I230" s="21" t="s">
        <v>133</v>
      </c>
      <c r="J230" s="7">
        <f>H228*H230*19</f>
        <v>-78.054545624940005</v>
      </c>
    </row>
    <row r="231" spans="2:10">
      <c r="B231" s="3" t="s">
        <v>195</v>
      </c>
      <c r="C231" s="138">
        <f>'Beregning v2'!E40</f>
        <v>0.44</v>
      </c>
      <c r="D231" s="21" t="s">
        <v>133</v>
      </c>
      <c r="E231" s="7"/>
      <c r="F231" s="3" t="s">
        <v>240</v>
      </c>
      <c r="H231" s="138">
        <f>E36</f>
        <v>-0.43</v>
      </c>
      <c r="I231" s="21" t="s">
        <v>133</v>
      </c>
      <c r="J231" s="7">
        <f>H228*H231*25</f>
        <v>-7.5935280250000003</v>
      </c>
    </row>
    <row r="232" spans="2:10" ht="5" customHeight="1">
      <c r="C232" s="7"/>
      <c r="D232" s="7"/>
      <c r="E232" s="7"/>
      <c r="H232" s="7"/>
      <c r="I232" s="7"/>
      <c r="J232" s="7"/>
    </row>
    <row r="233" spans="2:10">
      <c r="B233" s="3" t="s">
        <v>201</v>
      </c>
      <c r="C233" s="197">
        <f>E16</f>
        <v>-0.43</v>
      </c>
      <c r="D233" s="21" t="s">
        <v>133</v>
      </c>
      <c r="E233" s="7"/>
      <c r="F233" s="3" t="s">
        <v>201</v>
      </c>
      <c r="H233" s="197">
        <f>E16</f>
        <v>-0.43</v>
      </c>
      <c r="I233" s="21" t="s">
        <v>133</v>
      </c>
      <c r="J233" s="7"/>
    </row>
    <row r="234" spans="2:10">
      <c r="C234" s="7"/>
      <c r="D234" s="7"/>
      <c r="E234" s="7"/>
      <c r="H234" s="7"/>
      <c r="I234" s="7"/>
      <c r="J234" s="7"/>
    </row>
    <row r="235" spans="2:10">
      <c r="B235" s="41" t="s">
        <v>237</v>
      </c>
      <c r="C235" s="137">
        <f>D74</f>
        <v>0.95128400000000002</v>
      </c>
      <c r="D235" s="21" t="s">
        <v>45</v>
      </c>
      <c r="E235" s="7"/>
      <c r="F235" s="41" t="s">
        <v>191</v>
      </c>
      <c r="H235" s="137">
        <f>D74</f>
        <v>0.95128400000000002</v>
      </c>
      <c r="I235" s="21" t="s">
        <v>45</v>
      </c>
      <c r="J235" s="7"/>
    </row>
    <row r="236" spans="2:10">
      <c r="C236" s="139">
        <f>C235/10</f>
        <v>9.5128400000000002E-2</v>
      </c>
      <c r="D236" s="21" t="s">
        <v>159</v>
      </c>
      <c r="E236" s="7"/>
      <c r="H236" s="139">
        <f>H235/10</f>
        <v>9.5128400000000002E-2</v>
      </c>
      <c r="I236" s="21" t="s">
        <v>159</v>
      </c>
      <c r="J236" s="7"/>
    </row>
    <row r="237" spans="2:10">
      <c r="B237" s="3" t="s">
        <v>193</v>
      </c>
      <c r="C237" s="138">
        <f>C29</f>
        <v>3.04</v>
      </c>
      <c r="D237" s="21" t="s">
        <v>134</v>
      </c>
      <c r="E237" s="7"/>
      <c r="F237" s="3" t="s">
        <v>241</v>
      </c>
      <c r="H237" s="138">
        <f>C37</f>
        <v>-5.024</v>
      </c>
      <c r="I237" s="21" t="s">
        <v>134</v>
      </c>
      <c r="J237" s="7">
        <f>H236*H237</f>
        <v>-0.47792508160000002</v>
      </c>
    </row>
    <row r="238" spans="2:10">
      <c r="B238" s="3" t="s">
        <v>194</v>
      </c>
      <c r="C238" s="138">
        <f>D29</f>
        <v>3.04</v>
      </c>
      <c r="D238" s="21" t="s">
        <v>133</v>
      </c>
      <c r="E238" s="7"/>
      <c r="F238" s="3" t="s">
        <v>242</v>
      </c>
      <c r="H238" s="138">
        <f>D37</f>
        <v>-5.024</v>
      </c>
      <c r="I238" s="21" t="s">
        <v>133</v>
      </c>
      <c r="J238" s="7">
        <f>H236*H238*19</f>
        <v>-9.0805765504</v>
      </c>
    </row>
    <row r="239" spans="2:10">
      <c r="B239" s="3" t="s">
        <v>195</v>
      </c>
      <c r="C239" s="138">
        <f>E29</f>
        <v>0.44</v>
      </c>
      <c r="D239" s="21" t="s">
        <v>133</v>
      </c>
      <c r="E239" s="7"/>
      <c r="F239" s="3" t="s">
        <v>243</v>
      </c>
      <c r="H239" s="138">
        <f>E37</f>
        <v>-0.14000000000000001</v>
      </c>
      <c r="I239" s="21" t="s">
        <v>133</v>
      </c>
      <c r="J239" s="7">
        <f>H236*H239*25</f>
        <v>-0.33294940000000006</v>
      </c>
    </row>
    <row r="240" spans="2:10">
      <c r="C240" s="7"/>
      <c r="D240" s="7"/>
      <c r="E240" s="7"/>
      <c r="H240" s="7"/>
      <c r="I240" s="7"/>
    </row>
    <row r="241" spans="2:9">
      <c r="B241" s="3" t="s">
        <v>244</v>
      </c>
      <c r="C241" s="197">
        <f>E17</f>
        <v>-0.14000000000000001</v>
      </c>
      <c r="D241" s="21" t="s">
        <v>133</v>
      </c>
      <c r="E241" s="7"/>
      <c r="F241" s="3" t="s">
        <v>244</v>
      </c>
      <c r="H241" s="197">
        <f>E17</f>
        <v>-0.14000000000000001</v>
      </c>
      <c r="I241" s="21" t="s">
        <v>133</v>
      </c>
    </row>
    <row r="242" spans="2:9">
      <c r="C242" s="7"/>
      <c r="D242" s="7"/>
      <c r="E242" s="7"/>
      <c r="F242" s="7"/>
      <c r="G242" s="8"/>
    </row>
    <row r="243" spans="2:9">
      <c r="C243" s="7"/>
      <c r="D243" s="7"/>
      <c r="E243" s="7"/>
      <c r="F243" s="7"/>
      <c r="G243" s="8"/>
    </row>
    <row r="244" spans="2:9">
      <c r="C244" s="7"/>
      <c r="D244" s="7"/>
      <c r="E244" s="7"/>
      <c r="F244" s="7"/>
      <c r="G244" s="8"/>
    </row>
    <row r="245" spans="2:9">
      <c r="C245" s="7"/>
      <c r="D245" s="7"/>
      <c r="E245" s="7"/>
      <c r="F245" s="7"/>
      <c r="G245" s="8"/>
    </row>
    <row r="246" spans="2:9">
      <c r="B246" s="67" t="s">
        <v>250</v>
      </c>
      <c r="C246" s="63"/>
      <c r="D246" s="63"/>
      <c r="E246" s="63"/>
    </row>
    <row r="247" spans="2:9">
      <c r="B247" s="9" t="s">
        <v>154</v>
      </c>
      <c r="C247" s="63" t="s">
        <v>97</v>
      </c>
      <c r="D247" s="63" t="s">
        <v>58</v>
      </c>
      <c r="E247" s="63" t="s">
        <v>4</v>
      </c>
      <c r="G247" s="3" t="s">
        <v>5</v>
      </c>
      <c r="H247" s="3" t="s">
        <v>152</v>
      </c>
      <c r="I247" s="3" t="s">
        <v>153</v>
      </c>
    </row>
    <row r="248" spans="2:9" ht="5" customHeight="1">
      <c r="C248" s="7"/>
      <c r="D248" s="7"/>
      <c r="E248" s="7"/>
    </row>
    <row r="249" spans="2:9">
      <c r="B249" s="13" t="s">
        <v>198</v>
      </c>
      <c r="C249" s="14"/>
      <c r="D249" s="14"/>
      <c r="E249" s="14"/>
    </row>
    <row r="250" spans="2:9">
      <c r="B250" s="60" t="s">
        <v>247</v>
      </c>
      <c r="C250" s="90">
        <f>I250</f>
        <v>-2.6406480269599006</v>
      </c>
      <c r="D250" s="91">
        <f>G106</f>
        <v>-768.69000000000017</v>
      </c>
      <c r="E250" s="91">
        <f>$E$251</f>
        <v>291.09899999999999</v>
      </c>
      <c r="G250" s="10">
        <f>E250*1000000</f>
        <v>291099000</v>
      </c>
      <c r="H250" s="10">
        <f>(D250*1000000)</f>
        <v>-768690000.00000012</v>
      </c>
      <c r="I250" s="10">
        <f>H250/G250</f>
        <v>-2.6406480269599006</v>
      </c>
    </row>
    <row r="251" spans="2:9">
      <c r="B251" s="3" t="s">
        <v>156</v>
      </c>
      <c r="C251" s="59">
        <f>I251</f>
        <v>12.500000000000002</v>
      </c>
      <c r="D251" s="7">
        <f>G166</f>
        <v>3638.7375000000006</v>
      </c>
      <c r="E251" s="7">
        <f>F81</f>
        <v>291.09899999999999</v>
      </c>
      <c r="F251" s="59"/>
      <c r="G251" s="10">
        <f>E251*1000000</f>
        <v>291099000</v>
      </c>
      <c r="H251" s="10">
        <f>(D251*1000000)</f>
        <v>3638737500.0000005</v>
      </c>
      <c r="I251" s="10">
        <f>H251/G251</f>
        <v>12.500000000000002</v>
      </c>
    </row>
    <row r="252" spans="2:9">
      <c r="B252" s="3" t="s">
        <v>157</v>
      </c>
      <c r="C252" s="59">
        <f>I252</f>
        <v>259.66633333333334</v>
      </c>
      <c r="D252" s="7">
        <f>G168</f>
        <v>75588.609966999997</v>
      </c>
      <c r="E252" s="7">
        <f>$E$258</f>
        <v>291.09899999999999</v>
      </c>
      <c r="F252" s="59"/>
      <c r="G252" s="10">
        <f>E252*1000000</f>
        <v>291099000</v>
      </c>
      <c r="H252" s="10">
        <f>(D252*1000000)</f>
        <v>75588609967</v>
      </c>
      <c r="I252" s="10">
        <f>H252/G252</f>
        <v>259.66633333333334</v>
      </c>
    </row>
    <row r="253" spans="2:9" ht="5" customHeight="1">
      <c r="C253" s="59"/>
      <c r="D253" s="7"/>
      <c r="E253" s="7"/>
      <c r="F253" s="59"/>
    </row>
    <row r="254" spans="2:9">
      <c r="B254" s="13" t="s">
        <v>251</v>
      </c>
      <c r="C254" s="88"/>
      <c r="D254" s="14"/>
      <c r="E254" s="14"/>
      <c r="F254" s="88"/>
    </row>
    <row r="255" spans="2:9">
      <c r="B255" s="3" t="s">
        <v>150</v>
      </c>
      <c r="C255" s="59">
        <f>I255</f>
        <v>0.21866040773413856</v>
      </c>
      <c r="D255" s="7">
        <f>G215</f>
        <v>63.651826030999999</v>
      </c>
      <c r="E255" s="7">
        <f>$E$258</f>
        <v>291.09899999999999</v>
      </c>
      <c r="F255" s="59"/>
      <c r="G255" s="10">
        <f>E255*1000000</f>
        <v>291099000</v>
      </c>
      <c r="H255" s="10">
        <f>(D255*1000000)</f>
        <v>63651826.030999996</v>
      </c>
      <c r="I255" s="10">
        <f>H255/G255</f>
        <v>0.21866040773413856</v>
      </c>
    </row>
    <row r="256" spans="2:9">
      <c r="B256" s="3" t="s">
        <v>12</v>
      </c>
      <c r="C256" s="59">
        <f>I256</f>
        <v>11.053489702460812</v>
      </c>
      <c r="D256" s="7">
        <f>G218</f>
        <v>3217.6597988966396</v>
      </c>
      <c r="E256" s="7">
        <f>$E$258</f>
        <v>291.09899999999999</v>
      </c>
      <c r="F256" s="59"/>
      <c r="G256" s="10">
        <f>E256*1000000</f>
        <v>291099000</v>
      </c>
      <c r="H256" s="10">
        <f>(D256*1000000)</f>
        <v>3217659798.8966398</v>
      </c>
      <c r="I256" s="10">
        <f>H256/G256</f>
        <v>11.053489702460812</v>
      </c>
    </row>
    <row r="257" spans="2:10">
      <c r="B257" s="3" t="s">
        <v>87</v>
      </c>
      <c r="C257" s="59">
        <f>I257</f>
        <v>4.692463981208868</v>
      </c>
      <c r="D257" s="7">
        <f>G219</f>
        <v>1365.9715724659202</v>
      </c>
      <c r="E257" s="7">
        <f>$E$258</f>
        <v>291.09899999999999</v>
      </c>
      <c r="F257" s="59"/>
      <c r="G257" s="10">
        <f>E257*1000000</f>
        <v>291099000</v>
      </c>
      <c r="H257" s="10">
        <f>(D257*1000000)</f>
        <v>1365971572.4659202</v>
      </c>
      <c r="I257" s="10">
        <f>H257/G257</f>
        <v>4.692463981208868</v>
      </c>
    </row>
    <row r="258" spans="2:10">
      <c r="B258" s="69" t="s">
        <v>151</v>
      </c>
      <c r="C258" s="89">
        <f>I258</f>
        <v>15.964614091403815</v>
      </c>
      <c r="D258" s="12">
        <f>SUM(D255:D257)</f>
        <v>4647.2831973935599</v>
      </c>
      <c r="E258" s="12">
        <f>E251</f>
        <v>291.09899999999999</v>
      </c>
      <c r="F258" s="196"/>
      <c r="G258" s="10">
        <f>E258*1000000</f>
        <v>291099000</v>
      </c>
      <c r="H258" s="10">
        <f>(D258*1000000)</f>
        <v>4647283197.3935595</v>
      </c>
      <c r="I258" s="10">
        <f>H258/G258</f>
        <v>15.964614091403815</v>
      </c>
      <c r="J258" s="10">
        <f>G301-I258</f>
        <v>-15.964614091403815</v>
      </c>
    </row>
    <row r="259" spans="2:10" ht="5" customHeight="1">
      <c r="C259" s="59"/>
      <c r="D259" s="7"/>
      <c r="E259" s="7"/>
      <c r="F259" s="59"/>
    </row>
    <row r="260" spans="2:10">
      <c r="B260" s="3" t="s">
        <v>88</v>
      </c>
      <c r="C260" s="59">
        <f>I260</f>
        <v>0.78308719713911767</v>
      </c>
      <c r="D260" s="7">
        <f>G220</f>
        <v>227.95589999999999</v>
      </c>
      <c r="E260" s="7">
        <f>$E$258</f>
        <v>291.09899999999999</v>
      </c>
      <c r="F260" s="59"/>
      <c r="G260" s="10">
        <f>E260*1000000</f>
        <v>291099000</v>
      </c>
      <c r="H260" s="10">
        <f>(D260*1000000)</f>
        <v>227955900</v>
      </c>
      <c r="I260" s="10">
        <f>H260/G260</f>
        <v>0.78308719713911767</v>
      </c>
    </row>
    <row r="261" spans="2:10" ht="5" customHeight="1">
      <c r="C261" s="59"/>
      <c r="D261" s="7"/>
      <c r="E261" s="7"/>
      <c r="F261" s="59"/>
    </row>
    <row r="262" spans="2:10">
      <c r="B262" s="69" t="s">
        <v>155</v>
      </c>
      <c r="C262" s="89">
        <f>I262</f>
        <v>16.747701288542935</v>
      </c>
      <c r="D262" s="12">
        <f>D258+D260</f>
        <v>4875.2390973935599</v>
      </c>
      <c r="E262" s="12">
        <f>E258</f>
        <v>291.09899999999999</v>
      </c>
      <c r="F262" s="196"/>
      <c r="G262" s="10">
        <f>E262*1000000</f>
        <v>291099000</v>
      </c>
      <c r="H262" s="10">
        <f>(D262*1000000)</f>
        <v>4875239097.3935595</v>
      </c>
      <c r="I262" s="10">
        <f>H262/G262</f>
        <v>16.747701288542935</v>
      </c>
      <c r="J262" s="10">
        <f>G304-I262</f>
        <v>-16.747701288542935</v>
      </c>
    </row>
    <row r="263" spans="2:10" ht="5" customHeight="1">
      <c r="C263" s="59"/>
      <c r="D263" s="7"/>
      <c r="E263" s="7"/>
      <c r="F263" s="59"/>
    </row>
    <row r="264" spans="2:10">
      <c r="B264" s="13" t="s">
        <v>270</v>
      </c>
      <c r="C264" s="88"/>
      <c r="D264" s="14"/>
      <c r="E264" s="14"/>
      <c r="F264" s="88"/>
    </row>
    <row r="265" spans="2:10">
      <c r="B265" s="60" t="s">
        <v>271</v>
      </c>
      <c r="C265" s="90">
        <f>I265</f>
        <v>3.3825327465913664</v>
      </c>
      <c r="D265" s="91">
        <f>G161</f>
        <v>984.65190000000007</v>
      </c>
      <c r="E265" s="91">
        <f>$E$258</f>
        <v>291.09899999999999</v>
      </c>
      <c r="F265" s="90"/>
      <c r="G265" s="10">
        <f>E265*1000000</f>
        <v>291099000</v>
      </c>
      <c r="H265" s="10">
        <f>(D265*1000000)</f>
        <v>984651900.00000012</v>
      </c>
      <c r="I265" s="10">
        <f>H265/G265</f>
        <v>3.3825327465913664</v>
      </c>
    </row>
    <row r="266" spans="2:10" ht="5" customHeight="1">
      <c r="B266" s="60"/>
      <c r="C266" s="90"/>
      <c r="D266" s="91"/>
      <c r="E266" s="91"/>
      <c r="F266" s="90"/>
    </row>
    <row r="267" spans="2:10">
      <c r="B267" s="92" t="s">
        <v>269</v>
      </c>
      <c r="C267" s="93">
        <f>I267</f>
        <v>20.130234035134301</v>
      </c>
      <c r="D267" s="94">
        <f>D262+D265</f>
        <v>5859.8909973935597</v>
      </c>
      <c r="E267" s="94">
        <f>E265</f>
        <v>291.09899999999999</v>
      </c>
      <c r="F267" s="90"/>
      <c r="G267" s="10">
        <f>E267*1000000</f>
        <v>291099000</v>
      </c>
      <c r="H267" s="10">
        <f>(D267*1000000)</f>
        <v>5859890997.3935595</v>
      </c>
      <c r="I267" s="10">
        <f>H267/G267</f>
        <v>20.130234035134301</v>
      </c>
      <c r="J267" s="10">
        <f>G309-I267</f>
        <v>-20.130234035134301</v>
      </c>
    </row>
    <row r="268" spans="2:10" ht="5" customHeight="1">
      <c r="C268" s="7"/>
      <c r="D268" s="7"/>
      <c r="E268" s="7"/>
      <c r="F268" s="7"/>
    </row>
    <row r="269" spans="2:10">
      <c r="B269" s="210" t="s">
        <v>245</v>
      </c>
      <c r="C269" s="211">
        <f>C267-(C250+C251)</f>
        <v>10.270882062094199</v>
      </c>
      <c r="D269" s="212">
        <f>D267-(D250+D251)</f>
        <v>2989.8434973935591</v>
      </c>
      <c r="E269" s="212">
        <f>$E$262</f>
        <v>291.09899999999999</v>
      </c>
      <c r="F269" s="7"/>
      <c r="G269" s="10">
        <f t="shared" ref="G269:G270" si="23">E269*1000000</f>
        <v>291099000</v>
      </c>
      <c r="H269" s="10">
        <f t="shared" ref="H269:H270" si="24">(D269*1000000)</f>
        <v>2989843497.393559</v>
      </c>
      <c r="I269" s="10">
        <f t="shared" ref="I269:I270" si="25">H269/G269</f>
        <v>10.270882062094199</v>
      </c>
    </row>
    <row r="270" spans="2:10">
      <c r="B270" s="210" t="s">
        <v>246</v>
      </c>
      <c r="C270" s="211">
        <f>C267-(C250+C252)</f>
        <v>-236.89545127123912</v>
      </c>
      <c r="D270" s="212">
        <f>D267-(D250+D252)</f>
        <v>-68960.028969606428</v>
      </c>
      <c r="E270" s="212">
        <f>$E$262</f>
        <v>291.09899999999999</v>
      </c>
      <c r="F270" s="7"/>
      <c r="G270" s="10">
        <f t="shared" si="23"/>
        <v>291099000</v>
      </c>
      <c r="H270" s="10">
        <f t="shared" si="24"/>
        <v>-68960028969.60643</v>
      </c>
      <c r="I270" s="10">
        <f t="shared" si="25"/>
        <v>-236.8954512712391</v>
      </c>
    </row>
    <row r="271" spans="2:10">
      <c r="C271" s="7"/>
      <c r="D271" s="7"/>
      <c r="E271" s="7"/>
      <c r="F271" s="7"/>
    </row>
    <row r="272" spans="2:10">
      <c r="B272" s="3" t="s">
        <v>92</v>
      </c>
      <c r="C272" s="59">
        <f>C258-C260</f>
        <v>15.181526894264698</v>
      </c>
      <c r="D272" s="21" t="s">
        <v>58</v>
      </c>
      <c r="F272" s="59"/>
    </row>
    <row r="273" spans="1:8">
      <c r="C273" s="10"/>
      <c r="D273" s="21"/>
    </row>
    <row r="274" spans="1:8">
      <c r="C274" s="10"/>
      <c r="D274" s="21"/>
    </row>
    <row r="275" spans="1:8" ht="18">
      <c r="A275" s="95" t="s">
        <v>158</v>
      </c>
      <c r="B275" s="4" t="s">
        <v>139</v>
      </c>
      <c r="C275" s="5"/>
      <c r="D275" s="5"/>
      <c r="E275" s="5"/>
    </row>
    <row r="278" spans="1:8">
      <c r="B278" s="67" t="s">
        <v>139</v>
      </c>
      <c r="C278" s="63"/>
      <c r="D278" s="63"/>
      <c r="E278" s="63"/>
      <c r="F278" s="63"/>
      <c r="G278" s="82"/>
      <c r="H278" s="63"/>
    </row>
    <row r="279" spans="1:8">
      <c r="B279" s="9" t="s">
        <v>137</v>
      </c>
      <c r="C279" s="63" t="s">
        <v>32</v>
      </c>
      <c r="D279" s="63" t="s">
        <v>41</v>
      </c>
      <c r="E279" s="63" t="s">
        <v>42</v>
      </c>
      <c r="F279" s="63" t="s">
        <v>43</v>
      </c>
      <c r="G279" s="83" t="s">
        <v>149</v>
      </c>
      <c r="H279" s="72" t="s">
        <v>127</v>
      </c>
    </row>
    <row r="280" spans="1:8" ht="5" customHeight="1">
      <c r="C280" s="7"/>
      <c r="D280" s="7"/>
      <c r="E280" s="7"/>
      <c r="F280" s="7"/>
      <c r="G280" s="84"/>
      <c r="H280" s="73"/>
    </row>
    <row r="281" spans="1:8">
      <c r="B281" s="13" t="s">
        <v>140</v>
      </c>
      <c r="C281" s="14"/>
      <c r="D281" s="14"/>
      <c r="E281" s="14"/>
      <c r="F281" s="14"/>
      <c r="G281" s="87"/>
      <c r="H281" s="76"/>
    </row>
    <row r="282" spans="1:8">
      <c r="B282" s="3" t="s">
        <v>79</v>
      </c>
      <c r="C282" s="7">
        <f>C106</f>
        <v>-25.623000000000005</v>
      </c>
      <c r="D282" s="7">
        <f>D106</f>
        <v>-486.8370000000001</v>
      </c>
      <c r="E282" s="7">
        <f>E106</f>
        <v>-256.23</v>
      </c>
      <c r="F282" s="7">
        <f>F106</f>
        <v>-1153.0350000000003</v>
      </c>
      <c r="G282" s="84">
        <f>G154</f>
        <v>-768.69000000000017</v>
      </c>
      <c r="H282" s="73">
        <f>SUM(C282:F282)</f>
        <v>-1921.7250000000004</v>
      </c>
    </row>
    <row r="283" spans="1:8">
      <c r="B283" s="3" t="s">
        <v>144</v>
      </c>
      <c r="C283" s="7">
        <f>C108</f>
        <v>145.54949999999999</v>
      </c>
      <c r="D283" s="7">
        <f>D108</f>
        <v>2765.4405000000006</v>
      </c>
      <c r="E283" s="7">
        <f>E108</f>
        <v>727.74749999999995</v>
      </c>
      <c r="F283" s="7">
        <f>F108</f>
        <v>0</v>
      </c>
      <c r="G283" s="84">
        <f>G166</f>
        <v>3638.7375000000006</v>
      </c>
      <c r="H283" s="73">
        <f>SUM(C283:F283)</f>
        <v>3638.7375000000006</v>
      </c>
    </row>
    <row r="284" spans="1:8">
      <c r="B284" s="3" t="s">
        <v>143</v>
      </c>
      <c r="C284" s="7">
        <f>C110</f>
        <v>5814.5084589999997</v>
      </c>
      <c r="D284" s="7">
        <f>D110</f>
        <v>66285.396432599999</v>
      </c>
      <c r="E284" s="7">
        <f>E110</f>
        <v>3488.7050754000002</v>
      </c>
      <c r="F284" s="7">
        <f>F110</f>
        <v>0</v>
      </c>
      <c r="G284" s="84">
        <f>G168</f>
        <v>75588.609966999997</v>
      </c>
      <c r="H284" s="73">
        <f>SUM(C284:F284)</f>
        <v>75588.609966999997</v>
      </c>
    </row>
    <row r="285" spans="1:8" ht="5" customHeight="1">
      <c r="C285" s="7"/>
      <c r="D285" s="7"/>
      <c r="E285" s="7"/>
      <c r="F285" s="7"/>
      <c r="G285" s="84"/>
      <c r="H285" s="73"/>
    </row>
    <row r="286" spans="1:8">
      <c r="B286" s="3" t="str">
        <f t="shared" ref="B286:G286" si="26">B161</f>
        <v>Samlede klimagassutslipp tilrettelegging for beite</v>
      </c>
      <c r="C286" s="7">
        <f t="shared" si="26"/>
        <v>326.20070000000004</v>
      </c>
      <c r="D286" s="7">
        <f t="shared" si="26"/>
        <v>692.67920000000004</v>
      </c>
      <c r="E286" s="7">
        <f t="shared" si="26"/>
        <v>-34.228000000000009</v>
      </c>
      <c r="F286" s="7">
        <f t="shared" si="26"/>
        <v>-154.02600000000001</v>
      </c>
      <c r="G286" s="84">
        <f t="shared" si="26"/>
        <v>984.65190000000007</v>
      </c>
      <c r="H286" s="73">
        <f>SUM(C286:F286)</f>
        <v>830.6259</v>
      </c>
    </row>
    <row r="287" spans="1:8">
      <c r="B287" s="3" t="str">
        <f t="shared" ref="B287:G287" si="27">B223</f>
        <v>Samlede klimagassutslipp solkraftverk</v>
      </c>
      <c r="C287" s="7">
        <f t="shared" si="27"/>
        <v>4818.0360490825597</v>
      </c>
      <c r="D287" s="7">
        <f t="shared" si="27"/>
        <v>53.676434670999996</v>
      </c>
      <c r="E287" s="7">
        <f t="shared" si="27"/>
        <v>3.5266136399999999</v>
      </c>
      <c r="F287" s="7">
        <f t="shared" si="27"/>
        <v>-101.53579823530001</v>
      </c>
      <c r="G287" s="84">
        <f t="shared" si="27"/>
        <v>4875.2390973935599</v>
      </c>
      <c r="H287" s="73">
        <f>SUM(C287:F287)</f>
        <v>4773.7032991582591</v>
      </c>
    </row>
    <row r="288" spans="1:8">
      <c r="B288" s="71" t="s">
        <v>277</v>
      </c>
      <c r="C288" s="68">
        <f>C286+C287</f>
        <v>5144.23674908256</v>
      </c>
      <c r="D288" s="68">
        <f>D286+D287</f>
        <v>746.35563467100008</v>
      </c>
      <c r="E288" s="68">
        <f>E286+E287</f>
        <v>-30.701386360000008</v>
      </c>
      <c r="F288" s="68">
        <f>F286+F287</f>
        <v>-255.56179823530002</v>
      </c>
      <c r="G288" s="85">
        <f>G286+G287</f>
        <v>5859.8909973935597</v>
      </c>
      <c r="H288" s="74">
        <f>SUM(C288:F288)</f>
        <v>5604.329199158261</v>
      </c>
    </row>
    <row r="289" spans="1:11" ht="5" customHeight="1">
      <c r="C289" s="7"/>
      <c r="D289" s="7"/>
      <c r="E289" s="7"/>
      <c r="F289" s="7"/>
      <c r="G289" s="84"/>
      <c r="H289" s="73"/>
    </row>
    <row r="290" spans="1:11">
      <c r="B290" s="69" t="s">
        <v>141</v>
      </c>
      <c r="C290" s="12">
        <f t="shared" ref="C290:H290" si="28">C288-(C282+C283)</f>
        <v>5024.3102490825604</v>
      </c>
      <c r="D290" s="12">
        <f t="shared" si="28"/>
        <v>-1532.2478653290004</v>
      </c>
      <c r="E290" s="12">
        <f t="shared" si="28"/>
        <v>-502.21888635999994</v>
      </c>
      <c r="F290" s="12">
        <f t="shared" si="28"/>
        <v>897.47320176470032</v>
      </c>
      <c r="G290" s="86">
        <f t="shared" si="28"/>
        <v>2989.8434973935591</v>
      </c>
      <c r="H290" s="75">
        <f t="shared" si="28"/>
        <v>3887.3166991582607</v>
      </c>
      <c r="J290" s="10">
        <f>G324</f>
        <v>0</v>
      </c>
      <c r="K290" s="10">
        <f>H292-J290</f>
        <v>-68062.555767841724</v>
      </c>
    </row>
    <row r="291" spans="1:11" ht="5" customHeight="1">
      <c r="C291" s="7"/>
      <c r="D291" s="7"/>
      <c r="E291" s="7"/>
      <c r="F291" s="7"/>
      <c r="G291" s="84"/>
      <c r="H291" s="73"/>
    </row>
    <row r="292" spans="1:11">
      <c r="B292" s="71" t="s">
        <v>142</v>
      </c>
      <c r="C292" s="68">
        <f t="shared" ref="C292:H292" si="29">C288-(C282+C284)</f>
        <v>-644.6487099174401</v>
      </c>
      <c r="D292" s="68">
        <f t="shared" si="29"/>
        <v>-65052.203797928996</v>
      </c>
      <c r="E292" s="68">
        <f t="shared" si="29"/>
        <v>-3263.1764617600002</v>
      </c>
      <c r="F292" s="68">
        <f t="shared" si="29"/>
        <v>897.47320176470032</v>
      </c>
      <c r="G292" s="85">
        <f t="shared" si="29"/>
        <v>-68960.028969606428</v>
      </c>
      <c r="H292" s="74">
        <f t="shared" si="29"/>
        <v>-68062.555767841724</v>
      </c>
      <c r="J292" s="10">
        <f>G322</f>
        <v>45</v>
      </c>
      <c r="K292" s="10">
        <f>H292-J292</f>
        <v>-68107.555767841724</v>
      </c>
    </row>
    <row r="293" spans="1:11" ht="5" customHeight="1">
      <c r="C293" s="7"/>
      <c r="D293" s="7"/>
      <c r="E293" s="7"/>
      <c r="F293" s="7"/>
      <c r="G293" s="8"/>
    </row>
    <row r="295" spans="1:11">
      <c r="B295" s="15" t="s">
        <v>0</v>
      </c>
      <c r="C295" s="16" t="s">
        <v>9</v>
      </c>
      <c r="D295" s="5" t="s">
        <v>7</v>
      </c>
      <c r="E295" s="5" t="s">
        <v>8</v>
      </c>
    </row>
    <row r="296" spans="1:11" ht="5" customHeight="1">
      <c r="C296" s="10"/>
    </row>
    <row r="297" spans="1:11">
      <c r="B297" s="3" t="s">
        <v>0</v>
      </c>
      <c r="C297" s="141">
        <v>14583</v>
      </c>
      <c r="D297" s="142" t="s">
        <v>1</v>
      </c>
      <c r="E297" s="143" t="s">
        <v>26</v>
      </c>
    </row>
    <row r="298" spans="1:11">
      <c r="C298" s="10"/>
      <c r="D298" s="21"/>
    </row>
    <row r="299" spans="1:11">
      <c r="C299" s="10"/>
      <c r="D299" s="21"/>
    </row>
    <row r="300" spans="1:11">
      <c r="C300" s="10"/>
      <c r="D300" s="21"/>
    </row>
    <row r="301" spans="1:11" ht="18">
      <c r="A301" s="3" t="s">
        <v>158</v>
      </c>
      <c r="B301" s="4" t="s">
        <v>199</v>
      </c>
      <c r="C301" s="5"/>
      <c r="D301" s="5"/>
      <c r="E301" s="5"/>
    </row>
    <row r="302" spans="1:11" ht="5" customHeight="1">
      <c r="C302" s="7"/>
      <c r="D302" s="7"/>
      <c r="E302" s="7"/>
      <c r="F302" s="7"/>
      <c r="G302" s="8"/>
    </row>
    <row r="303" spans="1:11" ht="5" customHeight="1">
      <c r="C303" s="7"/>
      <c r="D303" s="7"/>
      <c r="E303" s="7"/>
      <c r="F303" s="7"/>
      <c r="G303" s="8"/>
    </row>
    <row r="304" spans="1:11" ht="5" customHeight="1">
      <c r="C304" s="7"/>
      <c r="D304" s="7"/>
      <c r="E304" s="7"/>
      <c r="F304" s="7"/>
      <c r="G304" s="8"/>
    </row>
    <row r="305" spans="2:7" ht="5" customHeight="1">
      <c r="C305" s="7"/>
      <c r="D305" s="7"/>
      <c r="E305" s="7"/>
      <c r="F305" s="7"/>
      <c r="G305" s="8"/>
    </row>
    <row r="306" spans="2:7">
      <c r="B306" s="15" t="s">
        <v>90</v>
      </c>
      <c r="C306" s="16"/>
      <c r="D306" s="5"/>
      <c r="E306" s="5"/>
    </row>
    <row r="307" spans="2:7" ht="5" customHeight="1">
      <c r="C307" s="7"/>
      <c r="D307" s="7"/>
      <c r="E307" s="7"/>
      <c r="F307" s="7"/>
      <c r="G307" s="8"/>
    </row>
    <row r="308" spans="2:7">
      <c r="B308" s="3" t="s">
        <v>91</v>
      </c>
      <c r="C308" s="10">
        <f>H221</f>
        <v>4811.5872713625595</v>
      </c>
      <c r="D308" s="21" t="s">
        <v>58</v>
      </c>
    </row>
    <row r="309" spans="2:7">
      <c r="B309" s="3" t="s">
        <v>92</v>
      </c>
      <c r="C309" s="10">
        <f>C220+C350</f>
        <v>3971.3826734515196</v>
      </c>
      <c r="D309" s="21" t="s">
        <v>58</v>
      </c>
    </row>
    <row r="310" spans="2:7">
      <c r="B310" s="3" t="s">
        <v>93</v>
      </c>
      <c r="C310" s="10">
        <f>C220+C351</f>
        <v>5650.0876003123194</v>
      </c>
      <c r="D310" s="21" t="s">
        <v>58</v>
      </c>
    </row>
    <row r="311" spans="2:7" ht="5" customHeight="1">
      <c r="C311" s="7"/>
      <c r="D311" s="21"/>
      <c r="E311" s="7"/>
      <c r="F311" s="7"/>
      <c r="G311" s="8"/>
    </row>
    <row r="312" spans="2:7">
      <c r="B312" s="3" t="s">
        <v>94</v>
      </c>
      <c r="C312" s="47">
        <f>(C308*1000000)/($C$353*1000000)</f>
        <v>16.529040880808793</v>
      </c>
      <c r="D312" s="21" t="s">
        <v>97</v>
      </c>
    </row>
    <row r="313" spans="2:7">
      <c r="B313" s="3" t="s">
        <v>95</v>
      </c>
      <c r="C313" s="47">
        <f>(C309*1000000)/($C$353*1000000)</f>
        <v>13.642721800664102</v>
      </c>
      <c r="D313" s="21" t="s">
        <v>97</v>
      </c>
    </row>
    <row r="314" spans="2:7">
      <c r="B314" s="3" t="s">
        <v>96</v>
      </c>
      <c r="C314" s="47">
        <f>(C310*1000000)/($C$353*1000000)</f>
        <v>19.409505358356846</v>
      </c>
      <c r="D314" s="21" t="s">
        <v>97</v>
      </c>
    </row>
    <row r="316" spans="2:7">
      <c r="B316" s="15" t="s">
        <v>10</v>
      </c>
      <c r="C316" s="16" t="s">
        <v>9</v>
      </c>
      <c r="D316" s="5" t="s">
        <v>7</v>
      </c>
      <c r="E316" s="5" t="s">
        <v>8</v>
      </c>
    </row>
    <row r="317" spans="2:7" ht="5" customHeight="1">
      <c r="C317" s="10"/>
    </row>
    <row r="318" spans="2:7">
      <c r="B318" s="3" t="s">
        <v>49</v>
      </c>
      <c r="C318" s="144">
        <f>'Beregning v2'!D73</f>
        <v>7.0637470000000002</v>
      </c>
      <c r="D318" s="21" t="s">
        <v>45</v>
      </c>
    </row>
    <row r="319" spans="2:7">
      <c r="B319" s="3" t="s">
        <v>49</v>
      </c>
      <c r="C319" s="11">
        <f>C318/10</f>
        <v>0.70637470000000002</v>
      </c>
      <c r="D319" s="21" t="s">
        <v>47</v>
      </c>
    </row>
    <row r="320" spans="2:7">
      <c r="B320" s="3" t="s">
        <v>196</v>
      </c>
      <c r="C320" s="50">
        <f>C16</f>
        <v>-0.43</v>
      </c>
      <c r="D320" s="21" t="s">
        <v>133</v>
      </c>
    </row>
    <row r="321" spans="2:7">
      <c r="B321" s="3" t="s">
        <v>202</v>
      </c>
      <c r="C321" s="198">
        <f>C40</f>
        <v>8.7200000000000006</v>
      </c>
      <c r="D321" s="21" t="s">
        <v>134</v>
      </c>
      <c r="E321" s="64">
        <v>1</v>
      </c>
      <c r="G321" s="3">
        <f>C321*1+C322*19+C323*25</f>
        <v>87.929999999999993</v>
      </c>
    </row>
    <row r="322" spans="2:7">
      <c r="B322" s="3" t="s">
        <v>203</v>
      </c>
      <c r="C322" s="198">
        <f>D40</f>
        <v>3.59</v>
      </c>
      <c r="D322" s="21" t="s">
        <v>133</v>
      </c>
      <c r="E322" s="64">
        <v>19</v>
      </c>
      <c r="G322" s="3">
        <v>45</v>
      </c>
    </row>
    <row r="323" spans="2:7">
      <c r="B323" s="3" t="s">
        <v>204</v>
      </c>
      <c r="C323" s="198">
        <f>E40</f>
        <v>0.44</v>
      </c>
      <c r="D323" s="21" t="s">
        <v>133</v>
      </c>
      <c r="E323" s="64">
        <v>55</v>
      </c>
    </row>
    <row r="325" spans="2:7">
      <c r="B325" s="19" t="s">
        <v>11</v>
      </c>
    </row>
    <row r="326" spans="2:7" ht="15" customHeight="1">
      <c r="B326" s="3" t="s">
        <v>12</v>
      </c>
      <c r="C326" s="124">
        <v>13716</v>
      </c>
      <c r="D326" s="21" t="s">
        <v>13</v>
      </c>
      <c r="E326" s="18" t="s">
        <v>14</v>
      </c>
    </row>
    <row r="327" spans="2:7" ht="15" customHeight="1">
      <c r="B327" s="3" t="s">
        <v>16</v>
      </c>
      <c r="C327" s="124">
        <v>700</v>
      </c>
      <c r="D327" s="21" t="s">
        <v>18</v>
      </c>
      <c r="E327" s="18"/>
    </row>
    <row r="328" spans="2:7" ht="15" customHeight="1">
      <c r="B328" s="3" t="s">
        <v>78</v>
      </c>
      <c r="C328" s="46">
        <f>(C327/C330)/1000</f>
        <v>0.22534471302672718</v>
      </c>
      <c r="D328" s="21"/>
      <c r="E328" s="18"/>
    </row>
    <row r="329" spans="2:7" ht="15" customHeight="1">
      <c r="B329" s="3" t="s">
        <v>17</v>
      </c>
      <c r="C329" s="20">
        <f>C326*C327/1000</f>
        <v>9601.2000000000007</v>
      </c>
      <c r="D329" s="21" t="s">
        <v>19</v>
      </c>
      <c r="E329" s="18"/>
    </row>
    <row r="330" spans="2:7" ht="15" customHeight="1">
      <c r="B330" s="3" t="s">
        <v>20</v>
      </c>
      <c r="C330" s="140">
        <f>2.384*1.303</f>
        <v>3.1063519999999998</v>
      </c>
      <c r="D330" s="21" t="s">
        <v>3</v>
      </c>
      <c r="E330" s="18">
        <v>38.299999999999997</v>
      </c>
    </row>
    <row r="331" spans="2:7" ht="15" customHeight="1">
      <c r="B331" s="3" t="s">
        <v>21</v>
      </c>
      <c r="C331" s="20">
        <f>C330*C326</f>
        <v>42606.724031999998</v>
      </c>
      <c r="D331" s="21" t="s">
        <v>3</v>
      </c>
      <c r="E331" s="18">
        <f>E330/C330</f>
        <v>12.329575012748073</v>
      </c>
    </row>
    <row r="332" spans="2:7" ht="15" customHeight="1">
      <c r="C332" s="20"/>
      <c r="D332" s="21"/>
      <c r="E332" s="18"/>
    </row>
    <row r="333" spans="2:7" ht="5" customHeight="1">
      <c r="C333" s="10"/>
      <c r="D333" s="21"/>
      <c r="E333" s="18"/>
    </row>
    <row r="334" spans="2:7">
      <c r="B334" s="19" t="s">
        <v>56</v>
      </c>
      <c r="D334" s="21"/>
      <c r="E334" s="18"/>
    </row>
    <row r="335" spans="2:7" ht="5" customHeight="1">
      <c r="C335" s="10"/>
      <c r="D335" s="21"/>
      <c r="E335" s="18"/>
    </row>
    <row r="336" spans="2:7">
      <c r="B336" s="3" t="s">
        <v>236</v>
      </c>
      <c r="C336" s="10">
        <f>C337+C338</f>
        <v>107.58</v>
      </c>
      <c r="D336" s="21" t="s">
        <v>24</v>
      </c>
      <c r="E336" s="18" t="s">
        <v>15</v>
      </c>
    </row>
    <row r="337" spans="2:9">
      <c r="B337" s="3" t="s">
        <v>54</v>
      </c>
      <c r="C337" s="10">
        <f>C343</f>
        <v>75.52</v>
      </c>
      <c r="D337" s="21" t="s">
        <v>24</v>
      </c>
      <c r="E337" s="18" t="s">
        <v>15</v>
      </c>
    </row>
    <row r="338" spans="2:9">
      <c r="B338" s="3" t="s">
        <v>55</v>
      </c>
      <c r="C338" s="10">
        <f>C341</f>
        <v>32.06</v>
      </c>
      <c r="D338" s="21" t="s">
        <v>24</v>
      </c>
      <c r="E338" s="18" t="s">
        <v>15</v>
      </c>
      <c r="H338" s="45">
        <v>8</v>
      </c>
      <c r="I338" s="3" t="s">
        <v>74</v>
      </c>
    </row>
    <row r="339" spans="2:9" ht="5" customHeight="1">
      <c r="C339" s="10"/>
      <c r="D339" s="21"/>
      <c r="E339" s="18"/>
    </row>
    <row r="340" spans="2:9" ht="15" customHeight="1">
      <c r="B340" s="3" t="s">
        <v>23</v>
      </c>
      <c r="C340" s="124">
        <v>55.8</v>
      </c>
      <c r="D340" s="21" t="s">
        <v>24</v>
      </c>
      <c r="E340" s="18" t="s">
        <v>15</v>
      </c>
      <c r="H340" s="3">
        <v>0.19600000000000001</v>
      </c>
      <c r="I340" s="3" t="s">
        <v>75</v>
      </c>
    </row>
    <row r="341" spans="2:9" ht="15" customHeight="1">
      <c r="B341" s="3" t="s">
        <v>52</v>
      </c>
      <c r="C341" s="124">
        <v>32.06</v>
      </c>
      <c r="D341" s="21" t="s">
        <v>24</v>
      </c>
      <c r="E341" s="18" t="s">
        <v>15</v>
      </c>
      <c r="H341" s="3">
        <f>1000/(H340*1000)</f>
        <v>5.1020408163265305</v>
      </c>
      <c r="I341" s="3" t="s">
        <v>76</v>
      </c>
    </row>
    <row r="342" spans="2:9" ht="5" customHeight="1">
      <c r="C342" s="10"/>
      <c r="D342" s="21"/>
      <c r="E342" s="18"/>
    </row>
    <row r="343" spans="2:9" ht="15" customHeight="1">
      <c r="B343" s="3" t="s">
        <v>22</v>
      </c>
      <c r="C343" s="124">
        <v>75.52</v>
      </c>
      <c r="D343" s="21" t="s">
        <v>24</v>
      </c>
      <c r="E343" s="18" t="s">
        <v>15</v>
      </c>
      <c r="H343" s="45">
        <f>H338</f>
        <v>8</v>
      </c>
      <c r="I343" s="3" t="s">
        <v>77</v>
      </c>
    </row>
    <row r="344" spans="2:9" ht="15" customHeight="1">
      <c r="B344" s="3" t="s">
        <v>53</v>
      </c>
      <c r="C344" s="124">
        <v>51.74</v>
      </c>
      <c r="D344" s="21" t="s">
        <v>24</v>
      </c>
      <c r="E344" s="18" t="s">
        <v>15</v>
      </c>
    </row>
    <row r="345" spans="2:9" ht="15" customHeight="1">
      <c r="C345" s="20"/>
      <c r="E345" s="18"/>
    </row>
    <row r="346" spans="2:9">
      <c r="B346" s="19" t="s">
        <v>51</v>
      </c>
      <c r="D346" s="21"/>
      <c r="E346" s="18"/>
    </row>
    <row r="347" spans="2:9" ht="5" customHeight="1">
      <c r="C347" s="10"/>
      <c r="D347" s="21"/>
      <c r="E347" s="18"/>
    </row>
    <row r="348" spans="2:9" ht="15" customHeight="1">
      <c r="B348" s="3" t="s">
        <v>21</v>
      </c>
      <c r="C348" s="20">
        <f>C331</f>
        <v>42606.724031999998</v>
      </c>
      <c r="D348" s="21" t="s">
        <v>3</v>
      </c>
      <c r="E348" s="18"/>
    </row>
    <row r="349" spans="2:9" ht="15" customHeight="1">
      <c r="B349" s="3" t="s">
        <v>57</v>
      </c>
      <c r="C349" s="20">
        <f>C336*C348/1000</f>
        <v>4583.6313713625595</v>
      </c>
      <c r="D349" s="21" t="s">
        <v>58</v>
      </c>
      <c r="E349" s="18">
        <f>(C349*1000000)/(C353*1000000)</f>
        <v>15.745953683669677</v>
      </c>
    </row>
    <row r="350" spans="2:9" ht="15" customHeight="1">
      <c r="B350" s="3" t="s">
        <v>70</v>
      </c>
      <c r="C350" s="20">
        <f>((C340+C341)*C348)/1000</f>
        <v>3743.4267734515197</v>
      </c>
      <c r="D350" s="21" t="s">
        <v>58</v>
      </c>
      <c r="E350" s="18">
        <f>(C361*1000000)/(C353*1000000)</f>
        <v>0.78308719713911767</v>
      </c>
    </row>
    <row r="351" spans="2:9" ht="15" customHeight="1">
      <c r="B351" s="3" t="s">
        <v>71</v>
      </c>
      <c r="C351" s="20">
        <f>((C343+C344)*C348)/1000</f>
        <v>5422.1317003123195</v>
      </c>
      <c r="D351" s="21" t="s">
        <v>58</v>
      </c>
      <c r="E351" s="18"/>
    </row>
    <row r="352" spans="2:9" ht="15" customHeight="1">
      <c r="B352" s="3" t="s">
        <v>28</v>
      </c>
      <c r="C352" s="20">
        <f>C80</f>
        <v>9703300</v>
      </c>
      <c r="D352" s="3" t="s">
        <v>5</v>
      </c>
      <c r="E352" s="18"/>
    </row>
    <row r="353" spans="2:5" ht="15" customHeight="1">
      <c r="B353" s="3" t="s">
        <v>59</v>
      </c>
      <c r="C353" s="20">
        <f>C352*30/1000000</f>
        <v>291.09899999999999</v>
      </c>
      <c r="D353" s="21" t="s">
        <v>4</v>
      </c>
      <c r="E353" s="18"/>
    </row>
    <row r="354" spans="2:5" ht="15" customHeight="1">
      <c r="B354" s="3" t="s">
        <v>60</v>
      </c>
      <c r="C354" s="20">
        <f>C349/30</f>
        <v>152.78771237875199</v>
      </c>
      <c r="D354" s="21" t="s">
        <v>58</v>
      </c>
    </row>
    <row r="355" spans="2:5" ht="15" customHeight="1">
      <c r="B355" s="3" t="s">
        <v>61</v>
      </c>
      <c r="C355" s="22">
        <f>(C354*1000000)/C352</f>
        <v>15.745953683669679</v>
      </c>
      <c r="D355" s="21" t="s">
        <v>62</v>
      </c>
    </row>
    <row r="356" spans="2:5" ht="15" customHeight="1">
      <c r="B356" s="3" t="s">
        <v>72</v>
      </c>
      <c r="C356" s="22">
        <f>(C350/30)*1000/C352</f>
        <v>1.2859634603524985E-2</v>
      </c>
      <c r="D356" s="21" t="s">
        <v>62</v>
      </c>
    </row>
    <row r="357" spans="2:5" ht="15" customHeight="1">
      <c r="B357" s="3" t="s">
        <v>73</v>
      </c>
      <c r="C357" s="209"/>
      <c r="D357" s="21" t="s">
        <v>62</v>
      </c>
    </row>
    <row r="358" spans="2:5" ht="15" customHeight="1">
      <c r="C358" s="209"/>
      <c r="D358" s="21"/>
    </row>
    <row r="359" spans="2:5">
      <c r="B359" s="19" t="s">
        <v>80</v>
      </c>
      <c r="D359" s="21"/>
      <c r="E359" s="18"/>
    </row>
    <row r="360" spans="2:5" ht="5" customHeight="1">
      <c r="C360" s="10"/>
      <c r="D360" s="21"/>
      <c r="E360" s="18"/>
    </row>
    <row r="361" spans="2:5" ht="15" customHeight="1">
      <c r="B361" s="6" t="s">
        <v>85</v>
      </c>
      <c r="C361" s="124">
        <f>(C362*C363+C364*C365)/1000</f>
        <v>227.95589999999999</v>
      </c>
      <c r="D361" s="21" t="s">
        <v>86</v>
      </c>
      <c r="E361" s="18"/>
    </row>
    <row r="362" spans="2:5" ht="15" customHeight="1">
      <c r="B362" s="6" t="s">
        <v>81</v>
      </c>
      <c r="C362" s="124">
        <v>437797.3</v>
      </c>
      <c r="D362" s="21" t="s">
        <v>83</v>
      </c>
      <c r="E362" s="18"/>
    </row>
    <row r="363" spans="2:5" ht="15" customHeight="1">
      <c r="B363" s="210" t="s">
        <v>84</v>
      </c>
      <c r="C363" s="213">
        <v>0.5</v>
      </c>
      <c r="D363" s="21"/>
      <c r="E363" s="18"/>
    </row>
    <row r="364" spans="2:5" ht="15" customHeight="1">
      <c r="B364" s="6" t="s">
        <v>82</v>
      </c>
      <c r="C364" s="124">
        <v>3622.9</v>
      </c>
      <c r="D364" s="21" t="s">
        <v>83</v>
      </c>
    </row>
    <row r="365" spans="2:5" ht="15" customHeight="1">
      <c r="B365" s="210" t="s">
        <v>84</v>
      </c>
      <c r="C365" s="213">
        <v>2.5</v>
      </c>
    </row>
    <row r="366" spans="2:5" ht="15" customHeight="1">
      <c r="C366" s="20"/>
    </row>
    <row r="367" spans="2:5">
      <c r="B367" s="19" t="s">
        <v>51</v>
      </c>
      <c r="D367" s="21"/>
      <c r="E367" s="18"/>
    </row>
    <row r="368" spans="2:5" ht="15" customHeight="1">
      <c r="C368" s="23"/>
    </row>
    <row r="369" spans="1:5" ht="15" customHeight="1">
      <c r="B369" s="24" t="s">
        <v>63</v>
      </c>
      <c r="C369" s="24"/>
      <c r="D369" s="25"/>
      <c r="E369" s="25"/>
    </row>
    <row r="370" spans="1:5" ht="15" customHeight="1">
      <c r="B370" s="26" t="s">
        <v>68</v>
      </c>
      <c r="C370" s="27"/>
      <c r="D370" s="28" t="s">
        <v>64</v>
      </c>
      <c r="E370" s="28" t="s">
        <v>40</v>
      </c>
    </row>
    <row r="371" spans="1:5" ht="15" customHeight="1">
      <c r="B371" s="29"/>
      <c r="C371" s="29"/>
      <c r="D371" s="30"/>
      <c r="E371" s="30"/>
    </row>
    <row r="372" spans="1:5" ht="15" customHeight="1">
      <c r="B372" s="29" t="s">
        <v>2</v>
      </c>
      <c r="C372" s="31"/>
      <c r="D372" s="32">
        <v>75.52</v>
      </c>
      <c r="E372" s="32">
        <v>55.8</v>
      </c>
    </row>
    <row r="373" spans="1:5" ht="15" customHeight="1">
      <c r="B373" s="29" t="s">
        <v>65</v>
      </c>
      <c r="C373" s="31"/>
      <c r="D373" s="32">
        <v>51.74</v>
      </c>
      <c r="E373" s="32">
        <v>32.06</v>
      </c>
    </row>
    <row r="374" spans="1:5" ht="15" customHeight="1">
      <c r="B374" s="29"/>
      <c r="C374" s="33"/>
      <c r="D374" s="34"/>
      <c r="E374" s="34"/>
    </row>
    <row r="375" spans="1:5" ht="15" customHeight="1">
      <c r="B375" s="35" t="s">
        <v>66</v>
      </c>
      <c r="C375" s="36"/>
      <c r="D375" s="37">
        <f>D372+D373</f>
        <v>127.25999999999999</v>
      </c>
      <c r="E375" s="37">
        <f>E372+E373</f>
        <v>87.86</v>
      </c>
    </row>
    <row r="376" spans="1:5" ht="15" customHeight="1" thickBot="1">
      <c r="B376" s="38"/>
      <c r="C376" s="38"/>
      <c r="D376" s="39"/>
      <c r="E376" s="39"/>
    </row>
    <row r="377" spans="1:5" ht="15" customHeight="1">
      <c r="B377" s="40" t="s">
        <v>67</v>
      </c>
      <c r="C377" s="29"/>
      <c r="D377" s="29"/>
      <c r="E377" s="29"/>
    </row>
    <row r="378" spans="1:5" ht="5" customHeight="1">
      <c r="C378" s="10"/>
      <c r="D378" s="21"/>
      <c r="E378" s="18"/>
    </row>
    <row r="381" spans="1:5" ht="18">
      <c r="A381" s="95" t="s">
        <v>179</v>
      </c>
      <c r="B381" s="4" t="s">
        <v>98</v>
      </c>
      <c r="C381" s="5"/>
      <c r="D381" s="5"/>
      <c r="E381" s="5"/>
    </row>
    <row r="383" spans="1:5">
      <c r="B383" s="67" t="s">
        <v>118</v>
      </c>
      <c r="C383" s="63" t="s">
        <v>121</v>
      </c>
      <c r="D383" s="217" t="s">
        <v>123</v>
      </c>
      <c r="E383" s="217"/>
    </row>
    <row r="384" spans="1:5">
      <c r="B384" s="9"/>
      <c r="C384" s="63" t="s">
        <v>112</v>
      </c>
      <c r="D384" s="63" t="s">
        <v>122</v>
      </c>
      <c r="E384" s="63" t="s">
        <v>109</v>
      </c>
    </row>
    <row r="385" spans="2:8" ht="5" customHeight="1">
      <c r="C385" s="7"/>
      <c r="D385" s="7"/>
      <c r="E385" s="7"/>
    </row>
    <row r="386" spans="2:8">
      <c r="B386" s="3" t="s">
        <v>145</v>
      </c>
      <c r="C386" s="7">
        <f>C403</f>
        <v>-1267.8967241379316</v>
      </c>
      <c r="D386" s="59">
        <f>C404/1000000</f>
        <v>-5.2066801880689662</v>
      </c>
      <c r="E386" s="59">
        <f>C405/1000000</f>
        <v>-0.96101243408697445</v>
      </c>
      <c r="F386" s="7"/>
      <c r="G386" s="59"/>
      <c r="H386" s="59"/>
    </row>
    <row r="387" spans="2:8">
      <c r="B387" s="3" t="s">
        <v>119</v>
      </c>
      <c r="C387" s="7">
        <f>C408</f>
        <v>3638.7375000000011</v>
      </c>
      <c r="D387" s="59">
        <f>C409/1000000</f>
        <v>5.6752661040000003</v>
      </c>
      <c r="E387" s="59">
        <f>C410/1000000</f>
        <v>3.2827905962619228</v>
      </c>
      <c r="F387" s="7"/>
      <c r="G387" s="7"/>
    </row>
    <row r="388" spans="2:8">
      <c r="B388" s="3" t="s">
        <v>120</v>
      </c>
      <c r="C388" s="7">
        <f>C413</f>
        <v>75588.609966999997</v>
      </c>
      <c r="D388" s="7">
        <f>C414/1000000</f>
        <v>100.54052640727589</v>
      </c>
      <c r="E388" s="7">
        <f>C415/1000000</f>
        <v>68.273549602588076</v>
      </c>
      <c r="F388" s="7"/>
      <c r="G388" s="59"/>
      <c r="H388" s="59"/>
    </row>
    <row r="389" spans="2:8" ht="5" customHeight="1">
      <c r="C389" s="7"/>
      <c r="D389" s="59"/>
      <c r="E389" s="59"/>
      <c r="F389" s="7"/>
      <c r="G389" s="8"/>
    </row>
    <row r="390" spans="2:8">
      <c r="B390" s="3" t="s">
        <v>257</v>
      </c>
      <c r="C390" s="10">
        <f>C433</f>
        <v>830.62589999999773</v>
      </c>
      <c r="D390" s="59">
        <f>C434/1000000</f>
        <v>0.35818024369999929</v>
      </c>
      <c r="E390" s="59">
        <f>C435/1000000</f>
        <v>0.80267677356983269</v>
      </c>
      <c r="G390" s="47"/>
      <c r="H390" s="47"/>
    </row>
    <row r="391" spans="2:8">
      <c r="B391" s="3" t="s">
        <v>10</v>
      </c>
      <c r="C391" s="10">
        <f>C428</f>
        <v>4773.7032991582619</v>
      </c>
      <c r="D391" s="59">
        <f>C429/1000000</f>
        <v>4.0835241602979666</v>
      </c>
      <c r="E391" s="59">
        <f>C430/1000000</f>
        <v>4.3894026835231648</v>
      </c>
    </row>
    <row r="392" spans="2:8" ht="5" customHeight="1">
      <c r="C392" s="7"/>
      <c r="D392" s="59"/>
      <c r="E392" s="59"/>
      <c r="F392" s="7"/>
      <c r="G392" s="8"/>
    </row>
    <row r="393" spans="2:8">
      <c r="B393" s="77" t="s">
        <v>256</v>
      </c>
      <c r="C393" s="78">
        <f>C390+C391</f>
        <v>5604.3291991582591</v>
      </c>
      <c r="D393" s="79">
        <f>D390+D391</f>
        <v>4.4417044039979663</v>
      </c>
      <c r="E393" s="79">
        <f>E390+E391</f>
        <v>5.1920794570929978</v>
      </c>
      <c r="H393" s="61"/>
    </row>
    <row r="394" spans="2:8">
      <c r="H394" s="61"/>
    </row>
    <row r="395" spans="2:8">
      <c r="C395" s="10">
        <f>C393-C386-C387</f>
        <v>3233.4884232961895</v>
      </c>
      <c r="D395" s="50">
        <f>D393-D386-D387</f>
        <v>3.9731184880669321</v>
      </c>
      <c r="E395" s="47">
        <f>E393-E386-E387</f>
        <v>2.8703012949180495</v>
      </c>
      <c r="G395" s="62"/>
    </row>
    <row r="396" spans="2:8">
      <c r="C396" s="10">
        <f>C393-C386-C388</f>
        <v>-68716.384043703802</v>
      </c>
      <c r="D396" s="10">
        <f>D393-D386-D388</f>
        <v>-90.892141815208959</v>
      </c>
      <c r="E396" s="10">
        <f>E393-E386-E388</f>
        <v>-62.120457711408108</v>
      </c>
      <c r="G396" s="62"/>
    </row>
    <row r="400" spans="2:8">
      <c r="B400" s="3" t="s">
        <v>110</v>
      </c>
      <c r="C400" s="55">
        <v>0.04</v>
      </c>
    </row>
    <row r="402" spans="2:5">
      <c r="B402" s="41" t="s">
        <v>147</v>
      </c>
    </row>
    <row r="403" spans="2:5">
      <c r="B403" s="3" t="s">
        <v>107</v>
      </c>
      <c r="C403" s="10">
        <f>SUM(C442:BY442)</f>
        <v>-1267.8967241379316</v>
      </c>
      <c r="D403" s="21" t="s">
        <v>112</v>
      </c>
      <c r="E403" s="58">
        <f>H106</f>
        <v>-1921.7250000000004</v>
      </c>
    </row>
    <row r="404" spans="2:5">
      <c r="B404" s="3" t="s">
        <v>108</v>
      </c>
      <c r="C404" s="10">
        <f>SUM(C441:BY441)</f>
        <v>-5206680.1880689664</v>
      </c>
      <c r="D404" s="21" t="s">
        <v>113</v>
      </c>
      <c r="E404" s="8"/>
    </row>
    <row r="405" spans="2:5">
      <c r="B405" s="3" t="s">
        <v>109</v>
      </c>
      <c r="C405" s="10">
        <f>NPV($C$400,C441:BY441)</f>
        <v>-961012.43408697448</v>
      </c>
      <c r="D405" s="21"/>
    </row>
    <row r="407" spans="2:5">
      <c r="B407" s="41" t="s">
        <v>105</v>
      </c>
    </row>
    <row r="408" spans="2:5">
      <c r="B408" s="3" t="s">
        <v>107</v>
      </c>
      <c r="C408" s="10">
        <f>SUM(C447:BY447)</f>
        <v>3638.7375000000011</v>
      </c>
      <c r="D408" s="21" t="s">
        <v>112</v>
      </c>
      <c r="E408" s="58">
        <f>H108</f>
        <v>3638.7375000000006</v>
      </c>
    </row>
    <row r="409" spans="2:5">
      <c r="B409" s="3" t="s">
        <v>108</v>
      </c>
      <c r="C409" s="10">
        <f>SUM(C449:BY449)</f>
        <v>5675266.1040000003</v>
      </c>
      <c r="D409" s="21" t="s">
        <v>113</v>
      </c>
      <c r="E409" s="8"/>
    </row>
    <row r="410" spans="2:5">
      <c r="B410" s="3" t="s">
        <v>109</v>
      </c>
      <c r="C410" s="10">
        <f>NPV($C$400,C449:BY449)</f>
        <v>3282790.5962619227</v>
      </c>
      <c r="D410" s="21"/>
    </row>
    <row r="412" spans="2:5">
      <c r="B412" s="41" t="s">
        <v>106</v>
      </c>
    </row>
    <row r="413" spans="2:5">
      <c r="B413" s="3" t="s">
        <v>107</v>
      </c>
      <c r="C413" s="10">
        <f>SUM(C453:BY453)</f>
        <v>75588.609966999997</v>
      </c>
      <c r="D413" s="21" t="s">
        <v>112</v>
      </c>
      <c r="E413" s="58">
        <f>H110</f>
        <v>75588.609966999997</v>
      </c>
    </row>
    <row r="414" spans="2:5">
      <c r="B414" s="3" t="s">
        <v>108</v>
      </c>
      <c r="C414" s="48">
        <f>SUM(C455:BY455)</f>
        <v>100540526.40727589</v>
      </c>
      <c r="D414" s="21" t="s">
        <v>113</v>
      </c>
    </row>
    <row r="415" spans="2:5">
      <c r="B415" s="3" t="s">
        <v>109</v>
      </c>
      <c r="C415" s="48">
        <f>NPV($C$400,C455:BY455)</f>
        <v>68273549.602588072</v>
      </c>
      <c r="D415" s="21" t="s">
        <v>113</v>
      </c>
    </row>
    <row r="417" spans="2:5">
      <c r="B417" s="41" t="s">
        <v>266</v>
      </c>
    </row>
    <row r="418" spans="2:5">
      <c r="B418" s="3" t="s">
        <v>107</v>
      </c>
      <c r="C418" s="10">
        <f>SUM(C457:BY457)</f>
        <v>4469.3633999999856</v>
      </c>
      <c r="D418" s="21" t="s">
        <v>112</v>
      </c>
      <c r="E418" s="58">
        <f>H161+H166</f>
        <v>4469.3634000000002</v>
      </c>
    </row>
    <row r="419" spans="2:5">
      <c r="B419" s="3" t="s">
        <v>108</v>
      </c>
      <c r="C419" s="48">
        <f>SUM(C460:BY460)</f>
        <v>6033446.3476999998</v>
      </c>
      <c r="D419" s="21" t="s">
        <v>113</v>
      </c>
    </row>
    <row r="420" spans="2:5">
      <c r="B420" s="3" t="s">
        <v>109</v>
      </c>
      <c r="C420" s="48">
        <f>NPV($C$400,C460:BY460)</f>
        <v>4085467.3698317581</v>
      </c>
      <c r="D420" s="21" t="s">
        <v>113</v>
      </c>
      <c r="E420" s="10"/>
    </row>
    <row r="422" spans="2:5">
      <c r="B422" s="41" t="s">
        <v>265</v>
      </c>
    </row>
    <row r="423" spans="2:5">
      <c r="B423" s="3" t="s">
        <v>107</v>
      </c>
      <c r="C423" s="10">
        <f>SUM(C462:BY462)</f>
        <v>76419.235866999967</v>
      </c>
      <c r="D423" s="21" t="s">
        <v>112</v>
      </c>
      <c r="E423" s="58">
        <f>H161+H168</f>
        <v>76419.235866999996</v>
      </c>
    </row>
    <row r="424" spans="2:5">
      <c r="B424" s="3" t="s">
        <v>108</v>
      </c>
      <c r="C424" s="48">
        <f>SUM(C465:BY465)</f>
        <v>100898706.65097587</v>
      </c>
      <c r="D424" s="21" t="s">
        <v>113</v>
      </c>
    </row>
    <row r="425" spans="2:5">
      <c r="B425" s="3" t="s">
        <v>109</v>
      </c>
      <c r="C425" s="48">
        <f>NPV($C$400,C465:BY465)</f>
        <v>69076226.376157984</v>
      </c>
      <c r="D425" s="21" t="s">
        <v>113</v>
      </c>
    </row>
    <row r="427" spans="2:5">
      <c r="B427" s="41" t="s">
        <v>115</v>
      </c>
    </row>
    <row r="428" spans="2:5">
      <c r="B428" s="3" t="s">
        <v>107</v>
      </c>
      <c r="C428" s="10">
        <f>SUM(C467:BY467)</f>
        <v>4773.7032991582619</v>
      </c>
      <c r="D428" s="21" t="s">
        <v>112</v>
      </c>
      <c r="E428" s="58">
        <f>H223</f>
        <v>4773.7032991582591</v>
      </c>
    </row>
    <row r="429" spans="2:5">
      <c r="B429" s="3" t="s">
        <v>108</v>
      </c>
      <c r="C429" s="48">
        <f>SUM(C470:BY470)</f>
        <v>4083524.160297967</v>
      </c>
      <c r="D429" s="21" t="s">
        <v>113</v>
      </c>
    </row>
    <row r="430" spans="2:5">
      <c r="B430" s="3" t="s">
        <v>109</v>
      </c>
      <c r="C430" s="48">
        <f>NPV($C$400,C470:BY470)</f>
        <v>4389402.6835231651</v>
      </c>
      <c r="D430" s="21" t="s">
        <v>113</v>
      </c>
    </row>
    <row r="432" spans="2:5">
      <c r="B432" s="41" t="s">
        <v>259</v>
      </c>
    </row>
    <row r="433" spans="2:77">
      <c r="B433" s="3" t="s">
        <v>107</v>
      </c>
      <c r="C433" s="10">
        <f>SUM(C473:BY473)</f>
        <v>830.62589999999773</v>
      </c>
      <c r="D433" s="21" t="s">
        <v>112</v>
      </c>
      <c r="E433" s="58">
        <f>H161</f>
        <v>830.6259</v>
      </c>
    </row>
    <row r="434" spans="2:77">
      <c r="B434" s="3" t="s">
        <v>108</v>
      </c>
      <c r="C434" s="48">
        <f>SUM(C474:BY474)</f>
        <v>358180.24369999929</v>
      </c>
      <c r="D434" s="21" t="s">
        <v>113</v>
      </c>
    </row>
    <row r="435" spans="2:77">
      <c r="B435" s="3" t="s">
        <v>109</v>
      </c>
      <c r="C435" s="48">
        <f>NPV($C$400,C474:BY474)</f>
        <v>802676.77356983267</v>
      </c>
      <c r="D435" s="21" t="s">
        <v>113</v>
      </c>
    </row>
    <row r="436" spans="2:77">
      <c r="C436" s="3">
        <v>1</v>
      </c>
      <c r="D436" s="3">
        <v>2</v>
      </c>
      <c r="E436" s="3">
        <v>3</v>
      </c>
      <c r="F436" s="3">
        <v>4</v>
      </c>
      <c r="G436" s="3">
        <v>5</v>
      </c>
      <c r="H436" s="3">
        <v>6</v>
      </c>
      <c r="I436" s="3">
        <v>7</v>
      </c>
      <c r="J436" s="3">
        <v>8</v>
      </c>
      <c r="K436" s="3">
        <v>9</v>
      </c>
      <c r="L436" s="3">
        <v>10</v>
      </c>
      <c r="M436" s="3">
        <v>11</v>
      </c>
      <c r="N436" s="3">
        <v>12</v>
      </c>
      <c r="O436" s="3">
        <v>13</v>
      </c>
      <c r="P436" s="3">
        <v>14</v>
      </c>
      <c r="Q436" s="3">
        <v>15</v>
      </c>
      <c r="R436" s="3">
        <v>16</v>
      </c>
      <c r="S436" s="3">
        <v>17</v>
      </c>
      <c r="T436" s="3">
        <v>18</v>
      </c>
      <c r="U436" s="3">
        <v>19</v>
      </c>
      <c r="V436" s="3">
        <v>20</v>
      </c>
      <c r="W436" s="3">
        <v>21</v>
      </c>
      <c r="X436" s="3">
        <v>22</v>
      </c>
      <c r="Y436" s="3">
        <v>23</v>
      </c>
      <c r="Z436" s="3">
        <v>24</v>
      </c>
      <c r="AA436" s="3">
        <v>25</v>
      </c>
      <c r="AB436" s="3">
        <v>26</v>
      </c>
      <c r="AC436" s="3">
        <v>27</v>
      </c>
      <c r="AD436" s="3">
        <v>28</v>
      </c>
      <c r="AE436" s="3">
        <v>29</v>
      </c>
      <c r="AF436" s="3">
        <v>30</v>
      </c>
      <c r="AG436" s="3">
        <v>31</v>
      </c>
      <c r="AH436" s="3">
        <v>32</v>
      </c>
      <c r="AI436" s="3">
        <v>33</v>
      </c>
      <c r="AJ436" s="3">
        <v>34</v>
      </c>
      <c r="AK436" s="3">
        <v>35</v>
      </c>
      <c r="AL436" s="3">
        <v>36</v>
      </c>
      <c r="AM436" s="3">
        <v>37</v>
      </c>
      <c r="AN436" s="3">
        <v>38</v>
      </c>
      <c r="AO436" s="3">
        <v>39</v>
      </c>
      <c r="AP436" s="3">
        <v>40</v>
      </c>
      <c r="AQ436" s="3">
        <v>41</v>
      </c>
      <c r="AR436" s="3">
        <v>42</v>
      </c>
      <c r="AS436" s="3">
        <v>43</v>
      </c>
      <c r="AT436" s="3">
        <v>44</v>
      </c>
      <c r="AU436" s="3">
        <v>45</v>
      </c>
      <c r="AV436" s="3">
        <v>46</v>
      </c>
      <c r="AW436" s="3">
        <v>47</v>
      </c>
      <c r="AX436" s="3">
        <v>48</v>
      </c>
      <c r="AY436" s="3">
        <v>49</v>
      </c>
      <c r="AZ436" s="3">
        <v>50</v>
      </c>
      <c r="BA436" s="3">
        <v>51</v>
      </c>
      <c r="BB436" s="3">
        <v>52</v>
      </c>
      <c r="BC436" s="3">
        <v>53</v>
      </c>
      <c r="BD436" s="3">
        <v>54</v>
      </c>
      <c r="BE436" s="3">
        <v>55</v>
      </c>
      <c r="BF436" s="3">
        <v>56</v>
      </c>
      <c r="BG436" s="3">
        <v>57</v>
      </c>
      <c r="BH436" s="3">
        <v>58</v>
      </c>
      <c r="BI436" s="3">
        <v>59</v>
      </c>
      <c r="BJ436" s="3">
        <v>60</v>
      </c>
      <c r="BK436" s="3">
        <v>61</v>
      </c>
      <c r="BL436" s="3">
        <v>62</v>
      </c>
      <c r="BM436" s="3">
        <v>63</v>
      </c>
      <c r="BN436" s="3">
        <v>64</v>
      </c>
      <c r="BO436" s="3">
        <v>65</v>
      </c>
      <c r="BP436" s="3">
        <v>66</v>
      </c>
      <c r="BQ436" s="3">
        <v>67</v>
      </c>
      <c r="BR436" s="3">
        <v>68</v>
      </c>
      <c r="BS436" s="3">
        <v>69</v>
      </c>
      <c r="BT436" s="3">
        <v>70</v>
      </c>
      <c r="BU436" s="3">
        <v>71</v>
      </c>
      <c r="BV436" s="3">
        <v>72</v>
      </c>
      <c r="BW436" s="3">
        <v>73</v>
      </c>
      <c r="BX436" s="3">
        <v>74</v>
      </c>
      <c r="BY436" s="3">
        <v>75</v>
      </c>
    </row>
    <row r="437" spans="2:77">
      <c r="B437" s="15" t="s">
        <v>104</v>
      </c>
      <c r="C437" s="42">
        <v>2025</v>
      </c>
      <c r="D437" s="43">
        <v>2026</v>
      </c>
      <c r="E437" s="43">
        <v>2027</v>
      </c>
      <c r="F437" s="43">
        <v>2028</v>
      </c>
      <c r="G437" s="43">
        <v>2029</v>
      </c>
      <c r="H437" s="43">
        <v>2030</v>
      </c>
      <c r="I437" s="43">
        <v>2031</v>
      </c>
      <c r="J437" s="43">
        <v>2032</v>
      </c>
      <c r="K437" s="43">
        <v>2033</v>
      </c>
      <c r="L437" s="43">
        <v>2034</v>
      </c>
      <c r="M437" s="43">
        <v>2035</v>
      </c>
      <c r="N437" s="43">
        <v>2036</v>
      </c>
      <c r="O437" s="43">
        <v>2037</v>
      </c>
      <c r="P437" s="43">
        <v>2038</v>
      </c>
      <c r="Q437" s="43">
        <v>2039</v>
      </c>
      <c r="R437" s="43">
        <v>2040</v>
      </c>
      <c r="S437" s="43">
        <v>2041</v>
      </c>
      <c r="T437" s="43">
        <v>2042</v>
      </c>
      <c r="U437" s="43">
        <v>2043</v>
      </c>
      <c r="V437" s="43">
        <v>2044</v>
      </c>
      <c r="W437" s="44">
        <v>2045</v>
      </c>
      <c r="X437" s="44">
        <v>2046</v>
      </c>
      <c r="Y437" s="44">
        <v>2047</v>
      </c>
      <c r="Z437" s="44">
        <v>2048</v>
      </c>
      <c r="AA437" s="44">
        <v>2049</v>
      </c>
      <c r="AB437" s="44">
        <v>2050</v>
      </c>
      <c r="AC437" s="44">
        <v>2051</v>
      </c>
      <c r="AD437" s="44">
        <v>2052</v>
      </c>
      <c r="AE437" s="44">
        <v>2053</v>
      </c>
      <c r="AF437" s="44">
        <v>2054</v>
      </c>
      <c r="AG437" s="44">
        <v>2055</v>
      </c>
      <c r="AH437" s="44">
        <v>2056</v>
      </c>
      <c r="AI437" s="44">
        <v>2057</v>
      </c>
      <c r="AJ437" s="44">
        <v>2058</v>
      </c>
      <c r="AK437" s="44">
        <v>2059</v>
      </c>
      <c r="AL437" s="44">
        <v>2060</v>
      </c>
      <c r="AM437" s="44">
        <v>2061</v>
      </c>
      <c r="AN437" s="44">
        <v>2062</v>
      </c>
      <c r="AO437" s="44">
        <v>2063</v>
      </c>
      <c r="AP437" s="44">
        <v>2064</v>
      </c>
      <c r="AQ437" s="44">
        <v>2065</v>
      </c>
      <c r="AR437" s="44">
        <v>2066</v>
      </c>
      <c r="AS437" s="44">
        <v>2067</v>
      </c>
      <c r="AT437" s="44">
        <v>2068</v>
      </c>
      <c r="AU437" s="44">
        <v>2069</v>
      </c>
      <c r="AV437" s="44">
        <v>2070</v>
      </c>
      <c r="AW437" s="44">
        <v>2071</v>
      </c>
      <c r="AX437" s="44">
        <v>2072</v>
      </c>
      <c r="AY437" s="44">
        <v>2073</v>
      </c>
      <c r="AZ437" s="44">
        <v>2074</v>
      </c>
      <c r="BA437" s="44">
        <v>2075</v>
      </c>
      <c r="BB437" s="44">
        <v>2076</v>
      </c>
      <c r="BC437" s="44">
        <v>2077</v>
      </c>
      <c r="BD437" s="44">
        <v>2078</v>
      </c>
      <c r="BE437" s="44">
        <v>2079</v>
      </c>
      <c r="BF437" s="44">
        <v>2080</v>
      </c>
      <c r="BG437" s="44">
        <v>2081</v>
      </c>
      <c r="BH437" s="44">
        <v>2082</v>
      </c>
      <c r="BI437" s="44">
        <v>2083</v>
      </c>
      <c r="BJ437" s="44">
        <v>2084</v>
      </c>
      <c r="BK437" s="44">
        <v>2085</v>
      </c>
      <c r="BL437" s="44">
        <v>2086</v>
      </c>
      <c r="BM437" s="44">
        <v>2087</v>
      </c>
      <c r="BN437" s="44">
        <v>2088</v>
      </c>
      <c r="BO437" s="44">
        <v>2089</v>
      </c>
      <c r="BP437" s="44">
        <v>2090</v>
      </c>
      <c r="BQ437" s="44">
        <v>2091</v>
      </c>
      <c r="BR437" s="44">
        <v>2092</v>
      </c>
      <c r="BS437" s="44">
        <v>2093</v>
      </c>
      <c r="BT437" s="44">
        <v>2094</v>
      </c>
      <c r="BU437" s="44">
        <v>2095</v>
      </c>
      <c r="BV437" s="44">
        <v>2096</v>
      </c>
      <c r="BW437" s="44">
        <v>2097</v>
      </c>
      <c r="BX437" s="44">
        <v>2098</v>
      </c>
      <c r="BY437" s="44">
        <v>2099</v>
      </c>
    </row>
    <row r="438" spans="2:77">
      <c r="B438" s="3" t="s">
        <v>124</v>
      </c>
      <c r="C438" s="3">
        <v>951</v>
      </c>
      <c r="D438" s="3">
        <v>970</v>
      </c>
      <c r="E438" s="3">
        <v>990</v>
      </c>
      <c r="F438" s="3">
        <v>1015</v>
      </c>
      <c r="G438" s="3">
        <v>1040</v>
      </c>
      <c r="H438" s="3">
        <v>1066</v>
      </c>
      <c r="I438" s="3">
        <v>1129</v>
      </c>
      <c r="J438" s="3">
        <v>1196</v>
      </c>
      <c r="K438" s="3">
        <v>1266</v>
      </c>
      <c r="L438" s="3">
        <v>1341</v>
      </c>
      <c r="M438" s="3">
        <v>1420</v>
      </c>
      <c r="N438" s="3">
        <v>1503</v>
      </c>
      <c r="O438" s="3">
        <v>1592</v>
      </c>
      <c r="P438" s="3">
        <v>1686</v>
      </c>
      <c r="Q438" s="3">
        <v>1785</v>
      </c>
      <c r="R438" s="3">
        <v>1890</v>
      </c>
      <c r="S438" s="3">
        <v>1915</v>
      </c>
      <c r="T438" s="3">
        <v>1939</v>
      </c>
      <c r="U438" s="3">
        <v>1965</v>
      </c>
      <c r="V438" s="3">
        <v>1990</v>
      </c>
      <c r="W438" s="3">
        <v>2016</v>
      </c>
      <c r="X438" s="3">
        <v>2042</v>
      </c>
      <c r="Y438" s="3">
        <v>2068</v>
      </c>
      <c r="Z438" s="3">
        <v>2095</v>
      </c>
      <c r="AA438" s="3">
        <v>2122</v>
      </c>
      <c r="AB438" s="3">
        <v>2150</v>
      </c>
      <c r="AC438" s="3">
        <v>2236</v>
      </c>
      <c r="AD438" s="3">
        <v>2325</v>
      </c>
      <c r="AE438" s="3">
        <v>2418</v>
      </c>
      <c r="AF438" s="3">
        <v>2515</v>
      </c>
      <c r="AG438" s="3">
        <v>2616</v>
      </c>
      <c r="AH438" s="3">
        <v>2720</v>
      </c>
      <c r="AI438" s="3">
        <v>2829</v>
      </c>
      <c r="AJ438" s="3">
        <v>2942</v>
      </c>
      <c r="AK438" s="3">
        <v>3060</v>
      </c>
      <c r="AL438" s="3">
        <v>3183</v>
      </c>
      <c r="AM438" s="3">
        <v>3310</v>
      </c>
      <c r="AN438" s="3">
        <v>3442</v>
      </c>
      <c r="AO438" s="3">
        <v>3580</v>
      </c>
      <c r="AP438" s="3">
        <v>3687</v>
      </c>
      <c r="AQ438" s="3">
        <v>3798</v>
      </c>
      <c r="AR438" s="3">
        <v>3912</v>
      </c>
      <c r="AS438" s="3">
        <v>4029</v>
      </c>
      <c r="AT438" s="3">
        <v>4150</v>
      </c>
      <c r="AU438" s="3">
        <v>4275</v>
      </c>
      <c r="AV438" s="3">
        <v>4403</v>
      </c>
      <c r="AW438" s="3">
        <v>4535</v>
      </c>
      <c r="AX438" s="3">
        <v>4671</v>
      </c>
      <c r="AY438" s="3">
        <v>4811</v>
      </c>
      <c r="AZ438" s="3">
        <v>4955</v>
      </c>
      <c r="BA438" s="3">
        <v>5104</v>
      </c>
      <c r="BB438" s="3">
        <v>5257</v>
      </c>
      <c r="BC438" s="3">
        <v>5415</v>
      </c>
      <c r="BD438" s="3">
        <v>5577</v>
      </c>
      <c r="BE438" s="3">
        <v>5745</v>
      </c>
      <c r="BF438" s="3">
        <v>5917</v>
      </c>
      <c r="BG438" s="3">
        <v>6095</v>
      </c>
      <c r="BH438" s="3">
        <v>6277</v>
      </c>
      <c r="BI438" s="3">
        <v>6466</v>
      </c>
      <c r="BJ438" s="3">
        <v>6660</v>
      </c>
      <c r="BK438" s="3">
        <v>6859</v>
      </c>
      <c r="BL438" s="3">
        <v>7065</v>
      </c>
      <c r="BM438" s="3">
        <v>7277</v>
      </c>
      <c r="BN438" s="3">
        <v>7496</v>
      </c>
      <c r="BO438" s="3">
        <v>7720</v>
      </c>
      <c r="BP438" s="3">
        <v>7952</v>
      </c>
      <c r="BQ438" s="3">
        <v>8191</v>
      </c>
      <c r="BR438" s="3">
        <v>8436</v>
      </c>
      <c r="BS438" s="3">
        <v>8689</v>
      </c>
      <c r="BT438" s="3">
        <v>8863</v>
      </c>
      <c r="BU438" s="3">
        <v>9040</v>
      </c>
      <c r="BV438" s="3">
        <v>9221</v>
      </c>
      <c r="BW438" s="3">
        <v>9406</v>
      </c>
      <c r="BX438" s="3">
        <v>9594</v>
      </c>
      <c r="BY438" s="3">
        <v>9786</v>
      </c>
    </row>
    <row r="439" spans="2:77">
      <c r="B439" s="60" t="s">
        <v>99</v>
      </c>
      <c r="C439" s="10"/>
      <c r="D439" s="17"/>
      <c r="E439" s="18"/>
    </row>
    <row r="440" spans="2:77">
      <c r="B440" s="60"/>
      <c r="C440" s="10"/>
      <c r="D440" s="17"/>
      <c r="E440" s="18"/>
    </row>
    <row r="441" spans="2:77" s="41" customFormat="1">
      <c r="B441" s="51" t="s">
        <v>146</v>
      </c>
      <c r="C441" s="52">
        <f>C442*C438</f>
        <v>-24367.473000000005</v>
      </c>
      <c r="D441" s="52">
        <f t="shared" ref="D441:BO441" si="30">D442*D438</f>
        <v>-16283.858275862072</v>
      </c>
      <c r="E441" s="52">
        <f t="shared" si="30"/>
        <v>-16619.607931034487</v>
      </c>
      <c r="F441" s="52">
        <f t="shared" si="30"/>
        <v>-17039.295000000006</v>
      </c>
      <c r="G441" s="52">
        <f t="shared" si="30"/>
        <v>-17458.982068965521</v>
      </c>
      <c r="H441" s="52">
        <f t="shared" si="30"/>
        <v>-17895.45662068966</v>
      </c>
      <c r="I441" s="52">
        <f t="shared" si="30"/>
        <v>-18953.068034482763</v>
      </c>
      <c r="J441" s="52">
        <f t="shared" si="30"/>
        <v>-20077.829379310351</v>
      </c>
      <c r="K441" s="52">
        <f t="shared" si="30"/>
        <v>-21252.9531724138</v>
      </c>
      <c r="L441" s="52">
        <f t="shared" si="30"/>
        <v>-22512.014379310353</v>
      </c>
      <c r="M441" s="52">
        <f t="shared" si="30"/>
        <v>-23838.225517241386</v>
      </c>
      <c r="N441" s="52">
        <f t="shared" si="30"/>
        <v>-25231.586586206904</v>
      </c>
      <c r="O441" s="52">
        <f t="shared" si="30"/>
        <v>-26725.672551724147</v>
      </c>
      <c r="P441" s="52">
        <f t="shared" si="30"/>
        <v>-28303.69593103449</v>
      </c>
      <c r="Q441" s="52">
        <f t="shared" si="30"/>
        <v>-29965.656724137938</v>
      </c>
      <c r="R441" s="52">
        <f t="shared" si="30"/>
        <v>-31728.342413793111</v>
      </c>
      <c r="S441" s="52">
        <f t="shared" si="30"/>
        <v>-32148.029482758629</v>
      </c>
      <c r="T441" s="52">
        <f t="shared" si="30"/>
        <v>-32550.929068965524</v>
      </c>
      <c r="U441" s="52">
        <f t="shared" si="30"/>
        <v>-32987.403620689664</v>
      </c>
      <c r="V441" s="52">
        <f t="shared" si="30"/>
        <v>-33407.090689655182</v>
      </c>
      <c r="W441" s="52">
        <f t="shared" si="30"/>
        <v>-33843.565241379321</v>
      </c>
      <c r="X441" s="52">
        <f t="shared" si="30"/>
        <v>-34280.03979310346</v>
      </c>
      <c r="Y441" s="52">
        <f t="shared" si="30"/>
        <v>-34716.514344827592</v>
      </c>
      <c r="Z441" s="52">
        <f t="shared" si="30"/>
        <v>-35169.776379310351</v>
      </c>
      <c r="AA441" s="52">
        <f t="shared" si="30"/>
        <v>-35623.038413793111</v>
      </c>
      <c r="AB441" s="52">
        <f t="shared" si="30"/>
        <v>-36093.08793103449</v>
      </c>
      <c r="AC441" s="52">
        <f t="shared" si="30"/>
        <v>-37536.811448275868</v>
      </c>
      <c r="AD441" s="52">
        <f t="shared" si="30"/>
        <v>-39030.897413793115</v>
      </c>
      <c r="AE441" s="52">
        <f t="shared" si="30"/>
        <v>-40592.133310344841</v>
      </c>
      <c r="AF441" s="52">
        <f t="shared" si="30"/>
        <v>-42220.519137931049</v>
      </c>
      <c r="AG441" s="52">
        <f t="shared" si="30"/>
        <v>-43916.054896551737</v>
      </c>
      <c r="AH441" s="52">
        <f t="shared" si="30"/>
        <v>-45661.953103448286</v>
      </c>
      <c r="AI441" s="52">
        <f t="shared" si="30"/>
        <v>-47491.788724137943</v>
      </c>
      <c r="AJ441" s="52">
        <f t="shared" si="30"/>
        <v>-49388.774275862081</v>
      </c>
      <c r="AK441" s="52">
        <f t="shared" si="30"/>
        <v>-51369.697241379326</v>
      </c>
      <c r="AL441" s="52">
        <f t="shared" si="30"/>
        <v>-53434.557620689666</v>
      </c>
      <c r="AM441" s="52">
        <f t="shared" si="30"/>
        <v>-55566.5679310345</v>
      </c>
      <c r="AN441" s="52">
        <f t="shared" si="30"/>
        <v>-57782.515655172429</v>
      </c>
      <c r="AO441" s="52">
        <f t="shared" si="30"/>
        <v>-60099.188275862085</v>
      </c>
      <c r="AP441" s="52">
        <f t="shared" si="30"/>
        <v>-61895.448931034502</v>
      </c>
      <c r="AQ441" s="52">
        <f t="shared" si="30"/>
        <v>-63758.859517241399</v>
      </c>
      <c r="AR441" s="52">
        <f t="shared" si="30"/>
        <v>-65672.632551724149</v>
      </c>
      <c r="AS441" s="52">
        <f t="shared" si="30"/>
        <v>-67636.768034482782</v>
      </c>
      <c r="AT441" s="52">
        <f t="shared" si="30"/>
        <v>-69668.053448275881</v>
      </c>
      <c r="AU441" s="52">
        <f t="shared" si="30"/>
        <v>-71766.488793103461</v>
      </c>
      <c r="AV441" s="52">
        <f t="shared" si="30"/>
        <v>-73915.286586206916</v>
      </c>
      <c r="AW441" s="52">
        <f t="shared" si="30"/>
        <v>-76131.234310344851</v>
      </c>
      <c r="AX441" s="52">
        <f t="shared" si="30"/>
        <v>-78414.331965517267</v>
      </c>
      <c r="AY441" s="52">
        <f t="shared" si="30"/>
        <v>-80764.579551724164</v>
      </c>
      <c r="AZ441" s="52">
        <f t="shared" si="30"/>
        <v>-83181.977068965542</v>
      </c>
      <c r="BA441" s="52">
        <f t="shared" si="30"/>
        <v>-85683.31200000002</v>
      </c>
      <c r="BB441" s="52">
        <f t="shared" si="30"/>
        <v>-88251.796862068994</v>
      </c>
      <c r="BC441" s="52">
        <f t="shared" si="30"/>
        <v>-90904.219137931053</v>
      </c>
      <c r="BD441" s="52">
        <f t="shared" si="30"/>
        <v>-93623.791344827609</v>
      </c>
      <c r="BE441" s="52">
        <f t="shared" si="30"/>
        <v>-96444.088448275885</v>
      </c>
      <c r="BF441" s="52">
        <f t="shared" si="30"/>
        <v>-99331.535482758642</v>
      </c>
      <c r="BG441" s="52">
        <f t="shared" si="30"/>
        <v>-102319.70741379313</v>
      </c>
      <c r="BH441" s="52">
        <f t="shared" si="30"/>
        <v>-105375.02927586209</v>
      </c>
      <c r="BI441" s="52">
        <f t="shared" si="30"/>
        <v>-108547.86351724141</v>
      </c>
      <c r="BJ441" s="52">
        <f t="shared" si="30"/>
        <v>-111804.63517241382</v>
      </c>
      <c r="BK441" s="52">
        <f t="shared" si="30"/>
        <v>-115145.34424137934</v>
      </c>
      <c r="BL441" s="52">
        <f t="shared" si="30"/>
        <v>-118603.56568965521</v>
      </c>
      <c r="BM441" s="52">
        <f t="shared" si="30"/>
        <v>-122162.51203448279</v>
      </c>
      <c r="BN441" s="52">
        <f t="shared" si="30"/>
        <v>-125838.97075862072</v>
      </c>
      <c r="BO441" s="52">
        <f t="shared" si="30"/>
        <v>-129599.36689655176</v>
      </c>
      <c r="BP441" s="52">
        <f t="shared" ref="BP441:BY441" si="31">BP442*BP438</f>
        <v>-133494.06289655177</v>
      </c>
      <c r="BQ441" s="52">
        <f t="shared" si="31"/>
        <v>-137506.27127586209</v>
      </c>
      <c r="BR441" s="52">
        <f t="shared" si="31"/>
        <v>-141619.20455172416</v>
      </c>
      <c r="BS441" s="52">
        <f t="shared" si="31"/>
        <v>-145866.4376896552</v>
      </c>
      <c r="BT441" s="52">
        <f t="shared" si="31"/>
        <v>-148787.45968965522</v>
      </c>
      <c r="BU441" s="52">
        <f t="shared" si="31"/>
        <v>-151758.84413793107</v>
      </c>
      <c r="BV441" s="52">
        <f t="shared" si="31"/>
        <v>-154797.37851724142</v>
      </c>
      <c r="BW441" s="52">
        <f t="shared" si="31"/>
        <v>-157903.06282758625</v>
      </c>
      <c r="BX441" s="52">
        <f t="shared" si="31"/>
        <v>-161059.10958620693</v>
      </c>
      <c r="BY441" s="52">
        <f t="shared" si="31"/>
        <v>-164282.30627586212</v>
      </c>
    </row>
    <row r="442" spans="2:77">
      <c r="B442" s="3" t="s">
        <v>101</v>
      </c>
      <c r="C442" s="10">
        <f>C446</f>
        <v>-25.623000000000005</v>
      </c>
      <c r="D442" s="10">
        <f t="shared" ref="D442:BO442" si="32">D446</f>
        <v>-16.787482758620694</v>
      </c>
      <c r="E442" s="10">
        <f t="shared" si="32"/>
        <v>-16.787482758620694</v>
      </c>
      <c r="F442" s="10">
        <f t="shared" si="32"/>
        <v>-16.787482758620694</v>
      </c>
      <c r="G442" s="10">
        <f t="shared" si="32"/>
        <v>-16.787482758620694</v>
      </c>
      <c r="H442" s="10">
        <f t="shared" si="32"/>
        <v>-16.787482758620694</v>
      </c>
      <c r="I442" s="10">
        <f t="shared" si="32"/>
        <v>-16.787482758620694</v>
      </c>
      <c r="J442" s="10">
        <f t="shared" si="32"/>
        <v>-16.787482758620694</v>
      </c>
      <c r="K442" s="10">
        <f t="shared" si="32"/>
        <v>-16.787482758620694</v>
      </c>
      <c r="L442" s="10">
        <f t="shared" si="32"/>
        <v>-16.787482758620694</v>
      </c>
      <c r="M442" s="10">
        <f t="shared" si="32"/>
        <v>-16.787482758620694</v>
      </c>
      <c r="N442" s="10">
        <f t="shared" si="32"/>
        <v>-16.787482758620694</v>
      </c>
      <c r="O442" s="10">
        <f t="shared" si="32"/>
        <v>-16.787482758620694</v>
      </c>
      <c r="P442" s="10">
        <f t="shared" si="32"/>
        <v>-16.787482758620694</v>
      </c>
      <c r="Q442" s="10">
        <f t="shared" si="32"/>
        <v>-16.787482758620694</v>
      </c>
      <c r="R442" s="10">
        <f t="shared" si="32"/>
        <v>-16.787482758620694</v>
      </c>
      <c r="S442" s="10">
        <f t="shared" si="32"/>
        <v>-16.787482758620694</v>
      </c>
      <c r="T442" s="10">
        <f t="shared" si="32"/>
        <v>-16.787482758620694</v>
      </c>
      <c r="U442" s="10">
        <f t="shared" si="32"/>
        <v>-16.787482758620694</v>
      </c>
      <c r="V442" s="10">
        <f t="shared" si="32"/>
        <v>-16.787482758620694</v>
      </c>
      <c r="W442" s="10">
        <f t="shared" si="32"/>
        <v>-16.787482758620694</v>
      </c>
      <c r="X442" s="10">
        <f t="shared" si="32"/>
        <v>-16.787482758620694</v>
      </c>
      <c r="Y442" s="10">
        <f t="shared" si="32"/>
        <v>-16.787482758620694</v>
      </c>
      <c r="Z442" s="10">
        <f t="shared" si="32"/>
        <v>-16.787482758620694</v>
      </c>
      <c r="AA442" s="10">
        <f t="shared" si="32"/>
        <v>-16.787482758620694</v>
      </c>
      <c r="AB442" s="10">
        <f t="shared" si="32"/>
        <v>-16.787482758620694</v>
      </c>
      <c r="AC442" s="10">
        <f t="shared" si="32"/>
        <v>-16.787482758620694</v>
      </c>
      <c r="AD442" s="10">
        <f t="shared" si="32"/>
        <v>-16.787482758620694</v>
      </c>
      <c r="AE442" s="10">
        <f t="shared" si="32"/>
        <v>-16.787482758620694</v>
      </c>
      <c r="AF442" s="10">
        <f t="shared" si="32"/>
        <v>-16.787482758620694</v>
      </c>
      <c r="AG442" s="10">
        <f t="shared" si="32"/>
        <v>-16.787482758620694</v>
      </c>
      <c r="AH442" s="10">
        <f t="shared" si="32"/>
        <v>-16.787482758620694</v>
      </c>
      <c r="AI442" s="10">
        <f t="shared" si="32"/>
        <v>-16.787482758620694</v>
      </c>
      <c r="AJ442" s="10">
        <f t="shared" si="32"/>
        <v>-16.787482758620694</v>
      </c>
      <c r="AK442" s="10">
        <f t="shared" si="32"/>
        <v>-16.787482758620694</v>
      </c>
      <c r="AL442" s="10">
        <f t="shared" si="32"/>
        <v>-16.787482758620694</v>
      </c>
      <c r="AM442" s="10">
        <f t="shared" si="32"/>
        <v>-16.787482758620694</v>
      </c>
      <c r="AN442" s="10">
        <f t="shared" si="32"/>
        <v>-16.787482758620694</v>
      </c>
      <c r="AO442" s="10">
        <f t="shared" si="32"/>
        <v>-16.787482758620694</v>
      </c>
      <c r="AP442" s="10">
        <f t="shared" si="32"/>
        <v>-16.787482758620694</v>
      </c>
      <c r="AQ442" s="10">
        <f t="shared" si="32"/>
        <v>-16.787482758620694</v>
      </c>
      <c r="AR442" s="10">
        <f t="shared" si="32"/>
        <v>-16.787482758620694</v>
      </c>
      <c r="AS442" s="10">
        <f t="shared" si="32"/>
        <v>-16.787482758620694</v>
      </c>
      <c r="AT442" s="10">
        <f t="shared" si="32"/>
        <v>-16.787482758620694</v>
      </c>
      <c r="AU442" s="10">
        <f t="shared" si="32"/>
        <v>-16.787482758620694</v>
      </c>
      <c r="AV442" s="10">
        <f t="shared" si="32"/>
        <v>-16.787482758620694</v>
      </c>
      <c r="AW442" s="10">
        <f t="shared" si="32"/>
        <v>-16.787482758620694</v>
      </c>
      <c r="AX442" s="10">
        <f t="shared" si="32"/>
        <v>-16.787482758620694</v>
      </c>
      <c r="AY442" s="10">
        <f t="shared" si="32"/>
        <v>-16.787482758620694</v>
      </c>
      <c r="AZ442" s="10">
        <f t="shared" si="32"/>
        <v>-16.787482758620694</v>
      </c>
      <c r="BA442" s="10">
        <f t="shared" si="32"/>
        <v>-16.787482758620694</v>
      </c>
      <c r="BB442" s="10">
        <f t="shared" si="32"/>
        <v>-16.787482758620694</v>
      </c>
      <c r="BC442" s="10">
        <f t="shared" si="32"/>
        <v>-16.787482758620694</v>
      </c>
      <c r="BD442" s="10">
        <f t="shared" si="32"/>
        <v>-16.787482758620694</v>
      </c>
      <c r="BE442" s="10">
        <f t="shared" si="32"/>
        <v>-16.787482758620694</v>
      </c>
      <c r="BF442" s="10">
        <f t="shared" si="32"/>
        <v>-16.787482758620694</v>
      </c>
      <c r="BG442" s="10">
        <f t="shared" si="32"/>
        <v>-16.787482758620694</v>
      </c>
      <c r="BH442" s="10">
        <f t="shared" si="32"/>
        <v>-16.787482758620694</v>
      </c>
      <c r="BI442" s="10">
        <f t="shared" si="32"/>
        <v>-16.787482758620694</v>
      </c>
      <c r="BJ442" s="10">
        <f t="shared" si="32"/>
        <v>-16.787482758620694</v>
      </c>
      <c r="BK442" s="10">
        <f t="shared" si="32"/>
        <v>-16.787482758620694</v>
      </c>
      <c r="BL442" s="10">
        <f t="shared" si="32"/>
        <v>-16.787482758620694</v>
      </c>
      <c r="BM442" s="10">
        <f t="shared" si="32"/>
        <v>-16.787482758620694</v>
      </c>
      <c r="BN442" s="10">
        <f t="shared" si="32"/>
        <v>-16.787482758620694</v>
      </c>
      <c r="BO442" s="10">
        <f t="shared" si="32"/>
        <v>-16.787482758620694</v>
      </c>
      <c r="BP442" s="10">
        <f t="shared" ref="BP442:BY442" si="33">BP446</f>
        <v>-16.787482758620694</v>
      </c>
      <c r="BQ442" s="10">
        <f t="shared" si="33"/>
        <v>-16.787482758620694</v>
      </c>
      <c r="BR442" s="10">
        <f t="shared" si="33"/>
        <v>-16.787482758620694</v>
      </c>
      <c r="BS442" s="10">
        <f t="shared" si="33"/>
        <v>-16.787482758620694</v>
      </c>
      <c r="BT442" s="10">
        <f t="shared" si="33"/>
        <v>-16.787482758620694</v>
      </c>
      <c r="BU442" s="10">
        <f t="shared" si="33"/>
        <v>-16.787482758620694</v>
      </c>
      <c r="BV442" s="10">
        <f t="shared" si="33"/>
        <v>-16.787482758620694</v>
      </c>
      <c r="BW442" s="10">
        <f t="shared" si="33"/>
        <v>-16.787482758620694</v>
      </c>
      <c r="BX442" s="10">
        <f t="shared" si="33"/>
        <v>-16.787482758620694</v>
      </c>
      <c r="BY442" s="10">
        <f t="shared" si="33"/>
        <v>-16.787482758620694</v>
      </c>
    </row>
    <row r="443" spans="2:77">
      <c r="B443" s="53" t="s">
        <v>111</v>
      </c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</row>
    <row r="445" spans="2:77" s="41" customFormat="1">
      <c r="B445" s="51" t="s">
        <v>100</v>
      </c>
      <c r="C445" s="52">
        <f>C446+C447</f>
        <v>119.92649999999999</v>
      </c>
      <c r="D445" s="52">
        <f t="shared" ref="D445:BO445" si="34">D446+D447</f>
        <v>128.76201724137931</v>
      </c>
      <c r="E445" s="52">
        <f t="shared" si="34"/>
        <v>128.76201724137931</v>
      </c>
      <c r="F445" s="52">
        <f t="shared" si="34"/>
        <v>128.76201724137931</v>
      </c>
      <c r="G445" s="52">
        <f t="shared" si="34"/>
        <v>128.76201724137931</v>
      </c>
      <c r="H445" s="52">
        <f t="shared" si="34"/>
        <v>128.76201724137931</v>
      </c>
      <c r="I445" s="52">
        <f t="shared" si="34"/>
        <v>128.76201724137931</v>
      </c>
      <c r="J445" s="52">
        <f t="shared" si="34"/>
        <v>128.76201724137931</v>
      </c>
      <c r="K445" s="52">
        <f t="shared" si="34"/>
        <v>128.76201724137931</v>
      </c>
      <c r="L445" s="52">
        <f t="shared" si="34"/>
        <v>128.76201724137931</v>
      </c>
      <c r="M445" s="52">
        <f t="shared" si="34"/>
        <v>128.76201724137931</v>
      </c>
      <c r="N445" s="52">
        <f t="shared" si="34"/>
        <v>128.76201724137931</v>
      </c>
      <c r="O445" s="52">
        <f t="shared" si="34"/>
        <v>128.76201724137931</v>
      </c>
      <c r="P445" s="52">
        <f t="shared" si="34"/>
        <v>128.76201724137931</v>
      </c>
      <c r="Q445" s="52">
        <f t="shared" si="34"/>
        <v>128.76201724137931</v>
      </c>
      <c r="R445" s="52">
        <f t="shared" si="34"/>
        <v>128.76201724137931</v>
      </c>
      <c r="S445" s="52">
        <f t="shared" si="34"/>
        <v>128.76201724137931</v>
      </c>
      <c r="T445" s="52">
        <f t="shared" si="34"/>
        <v>128.76201724137931</v>
      </c>
      <c r="U445" s="52">
        <f t="shared" si="34"/>
        <v>128.76201724137931</v>
      </c>
      <c r="V445" s="52">
        <f t="shared" si="34"/>
        <v>128.76201724137931</v>
      </c>
      <c r="W445" s="52">
        <f t="shared" si="34"/>
        <v>128.76201724137931</v>
      </c>
      <c r="X445" s="52">
        <f t="shared" si="34"/>
        <v>128.76201724137931</v>
      </c>
      <c r="Y445" s="52">
        <f t="shared" si="34"/>
        <v>128.76201724137931</v>
      </c>
      <c r="Z445" s="52">
        <f t="shared" si="34"/>
        <v>128.76201724137931</v>
      </c>
      <c r="AA445" s="52">
        <f t="shared" si="34"/>
        <v>128.76201724137931</v>
      </c>
      <c r="AB445" s="52">
        <f t="shared" si="34"/>
        <v>-16.787482758620694</v>
      </c>
      <c r="AC445" s="52">
        <f t="shared" si="34"/>
        <v>-16.787482758620694</v>
      </c>
      <c r="AD445" s="52">
        <f t="shared" si="34"/>
        <v>-16.787482758620694</v>
      </c>
      <c r="AE445" s="52">
        <f t="shared" si="34"/>
        <v>-16.787482758620694</v>
      </c>
      <c r="AF445" s="52">
        <f t="shared" si="34"/>
        <v>-16.787482758620694</v>
      </c>
      <c r="AG445" s="52">
        <f t="shared" si="34"/>
        <v>-16.787482758620694</v>
      </c>
      <c r="AH445" s="52">
        <f t="shared" si="34"/>
        <v>-16.787482758620694</v>
      </c>
      <c r="AI445" s="52">
        <f t="shared" si="34"/>
        <v>-16.787482758620694</v>
      </c>
      <c r="AJ445" s="52">
        <f t="shared" si="34"/>
        <v>-16.787482758620694</v>
      </c>
      <c r="AK445" s="52">
        <f t="shared" si="34"/>
        <v>-16.787482758620694</v>
      </c>
      <c r="AL445" s="52">
        <f t="shared" si="34"/>
        <v>-16.787482758620694</v>
      </c>
      <c r="AM445" s="52">
        <f t="shared" si="34"/>
        <v>-16.787482758620694</v>
      </c>
      <c r="AN445" s="52">
        <f t="shared" si="34"/>
        <v>-16.787482758620694</v>
      </c>
      <c r="AO445" s="52">
        <f t="shared" si="34"/>
        <v>-16.787482758620694</v>
      </c>
      <c r="AP445" s="52">
        <f t="shared" si="34"/>
        <v>-16.787482758620694</v>
      </c>
      <c r="AQ445" s="52">
        <f t="shared" si="34"/>
        <v>-16.787482758620694</v>
      </c>
      <c r="AR445" s="52">
        <f t="shared" si="34"/>
        <v>-16.787482758620694</v>
      </c>
      <c r="AS445" s="52">
        <f t="shared" si="34"/>
        <v>-16.787482758620694</v>
      </c>
      <c r="AT445" s="52">
        <f t="shared" si="34"/>
        <v>-16.787482758620694</v>
      </c>
      <c r="AU445" s="52">
        <f t="shared" si="34"/>
        <v>-16.787482758620694</v>
      </c>
      <c r="AV445" s="52">
        <f t="shared" si="34"/>
        <v>-16.787482758620694</v>
      </c>
      <c r="AW445" s="52">
        <f t="shared" si="34"/>
        <v>-16.787482758620694</v>
      </c>
      <c r="AX445" s="52">
        <f t="shared" si="34"/>
        <v>-16.787482758620694</v>
      </c>
      <c r="AY445" s="52">
        <f t="shared" si="34"/>
        <v>-16.787482758620694</v>
      </c>
      <c r="AZ445" s="52">
        <f t="shared" si="34"/>
        <v>-16.787482758620694</v>
      </c>
      <c r="BA445" s="52">
        <f t="shared" si="34"/>
        <v>-16.787482758620694</v>
      </c>
      <c r="BB445" s="52">
        <f t="shared" si="34"/>
        <v>-16.787482758620694</v>
      </c>
      <c r="BC445" s="52">
        <f t="shared" si="34"/>
        <v>-16.787482758620694</v>
      </c>
      <c r="BD445" s="52">
        <f t="shared" si="34"/>
        <v>-16.787482758620694</v>
      </c>
      <c r="BE445" s="52">
        <f t="shared" si="34"/>
        <v>-16.787482758620694</v>
      </c>
      <c r="BF445" s="52">
        <f t="shared" si="34"/>
        <v>-16.787482758620694</v>
      </c>
      <c r="BG445" s="52">
        <f t="shared" si="34"/>
        <v>-16.787482758620694</v>
      </c>
      <c r="BH445" s="52">
        <f t="shared" si="34"/>
        <v>-16.787482758620694</v>
      </c>
      <c r="BI445" s="52">
        <f t="shared" si="34"/>
        <v>-16.787482758620694</v>
      </c>
      <c r="BJ445" s="52">
        <f t="shared" si="34"/>
        <v>-16.787482758620694</v>
      </c>
      <c r="BK445" s="52">
        <f t="shared" si="34"/>
        <v>-16.787482758620694</v>
      </c>
      <c r="BL445" s="52">
        <f t="shared" si="34"/>
        <v>-16.787482758620694</v>
      </c>
      <c r="BM445" s="52">
        <f t="shared" si="34"/>
        <v>-16.787482758620694</v>
      </c>
      <c r="BN445" s="52">
        <f t="shared" si="34"/>
        <v>-16.787482758620694</v>
      </c>
      <c r="BO445" s="52">
        <f t="shared" si="34"/>
        <v>-16.787482758620694</v>
      </c>
      <c r="BP445" s="52">
        <f t="shared" ref="BP445:BY445" si="35">BP446+BP447</f>
        <v>-16.787482758620694</v>
      </c>
      <c r="BQ445" s="52">
        <f t="shared" si="35"/>
        <v>-16.787482758620694</v>
      </c>
      <c r="BR445" s="52">
        <f t="shared" si="35"/>
        <v>-16.787482758620694</v>
      </c>
      <c r="BS445" s="52">
        <f t="shared" si="35"/>
        <v>-16.787482758620694</v>
      </c>
      <c r="BT445" s="52">
        <f t="shared" si="35"/>
        <v>-16.787482758620694</v>
      </c>
      <c r="BU445" s="52">
        <f t="shared" si="35"/>
        <v>-16.787482758620694</v>
      </c>
      <c r="BV445" s="52">
        <f t="shared" si="35"/>
        <v>-16.787482758620694</v>
      </c>
      <c r="BW445" s="52">
        <f t="shared" si="35"/>
        <v>-16.787482758620694</v>
      </c>
      <c r="BX445" s="52">
        <f t="shared" si="35"/>
        <v>-16.787482758620694</v>
      </c>
      <c r="BY445" s="52">
        <f t="shared" si="35"/>
        <v>-16.787482758620694</v>
      </c>
    </row>
    <row r="446" spans="2:77">
      <c r="B446" s="3" t="s">
        <v>101</v>
      </c>
      <c r="C446" s="10">
        <f>C103</f>
        <v>-25.623000000000005</v>
      </c>
      <c r="D446" s="10">
        <f>$D$103/29</f>
        <v>-16.787482758620694</v>
      </c>
      <c r="E446" s="10">
        <f>$D$103/29</f>
        <v>-16.787482758620694</v>
      </c>
      <c r="F446" s="10">
        <f>$D$103/29</f>
        <v>-16.787482758620694</v>
      </c>
      <c r="G446" s="10">
        <f>$D$103/29</f>
        <v>-16.787482758620694</v>
      </c>
      <c r="H446" s="10">
        <f>F446</f>
        <v>-16.787482758620694</v>
      </c>
      <c r="I446" s="10">
        <f>H446</f>
        <v>-16.787482758620694</v>
      </c>
      <c r="J446" s="10">
        <f t="shared" ref="J446:M446" si="36">I446</f>
        <v>-16.787482758620694</v>
      </c>
      <c r="K446" s="10">
        <f t="shared" si="36"/>
        <v>-16.787482758620694</v>
      </c>
      <c r="L446" s="10">
        <f t="shared" si="36"/>
        <v>-16.787482758620694</v>
      </c>
      <c r="M446" s="10">
        <f t="shared" si="36"/>
        <v>-16.787482758620694</v>
      </c>
      <c r="N446" s="10">
        <f>M446</f>
        <v>-16.787482758620694</v>
      </c>
      <c r="O446" s="10">
        <f>M446</f>
        <v>-16.787482758620694</v>
      </c>
      <c r="P446" s="10">
        <f>O446</f>
        <v>-16.787482758620694</v>
      </c>
      <c r="Q446" s="10">
        <f t="shared" ref="Q446:BE446" si="37">P446</f>
        <v>-16.787482758620694</v>
      </c>
      <c r="R446" s="10">
        <f t="shared" si="37"/>
        <v>-16.787482758620694</v>
      </c>
      <c r="S446" s="10">
        <f t="shared" si="37"/>
        <v>-16.787482758620694</v>
      </c>
      <c r="T446" s="10">
        <f t="shared" si="37"/>
        <v>-16.787482758620694</v>
      </c>
      <c r="U446" s="10">
        <f t="shared" si="37"/>
        <v>-16.787482758620694</v>
      </c>
      <c r="V446" s="10">
        <f t="shared" si="37"/>
        <v>-16.787482758620694</v>
      </c>
      <c r="W446" s="10">
        <f t="shared" si="37"/>
        <v>-16.787482758620694</v>
      </c>
      <c r="X446" s="10">
        <f t="shared" si="37"/>
        <v>-16.787482758620694</v>
      </c>
      <c r="Y446" s="10">
        <f t="shared" si="37"/>
        <v>-16.787482758620694</v>
      </c>
      <c r="Z446" s="10">
        <f t="shared" si="37"/>
        <v>-16.787482758620694</v>
      </c>
      <c r="AA446" s="10">
        <f t="shared" si="37"/>
        <v>-16.787482758620694</v>
      </c>
      <c r="AB446" s="10">
        <f t="shared" si="37"/>
        <v>-16.787482758620694</v>
      </c>
      <c r="AC446" s="10">
        <f t="shared" si="37"/>
        <v>-16.787482758620694</v>
      </c>
      <c r="AD446" s="10">
        <f t="shared" si="37"/>
        <v>-16.787482758620694</v>
      </c>
      <c r="AE446" s="10">
        <f t="shared" si="37"/>
        <v>-16.787482758620694</v>
      </c>
      <c r="AF446" s="10">
        <f t="shared" si="37"/>
        <v>-16.787482758620694</v>
      </c>
      <c r="AG446" s="10">
        <f t="shared" si="37"/>
        <v>-16.787482758620694</v>
      </c>
      <c r="AH446" s="10">
        <f t="shared" si="37"/>
        <v>-16.787482758620694</v>
      </c>
      <c r="AI446" s="10">
        <f t="shared" si="37"/>
        <v>-16.787482758620694</v>
      </c>
      <c r="AJ446" s="10">
        <f t="shared" si="37"/>
        <v>-16.787482758620694</v>
      </c>
      <c r="AK446" s="10">
        <f t="shared" si="37"/>
        <v>-16.787482758620694</v>
      </c>
      <c r="AL446" s="10">
        <f t="shared" si="37"/>
        <v>-16.787482758620694</v>
      </c>
      <c r="AM446" s="10">
        <f t="shared" si="37"/>
        <v>-16.787482758620694</v>
      </c>
      <c r="AN446" s="10">
        <f t="shared" si="37"/>
        <v>-16.787482758620694</v>
      </c>
      <c r="AO446" s="10">
        <f t="shared" si="37"/>
        <v>-16.787482758620694</v>
      </c>
      <c r="AP446" s="10">
        <f t="shared" si="37"/>
        <v>-16.787482758620694</v>
      </c>
      <c r="AQ446" s="10">
        <f t="shared" si="37"/>
        <v>-16.787482758620694</v>
      </c>
      <c r="AR446" s="10">
        <f t="shared" si="37"/>
        <v>-16.787482758620694</v>
      </c>
      <c r="AS446" s="10">
        <f t="shared" si="37"/>
        <v>-16.787482758620694</v>
      </c>
      <c r="AT446" s="10">
        <f t="shared" si="37"/>
        <v>-16.787482758620694</v>
      </c>
      <c r="AU446" s="10">
        <f t="shared" si="37"/>
        <v>-16.787482758620694</v>
      </c>
      <c r="AV446" s="10">
        <f t="shared" si="37"/>
        <v>-16.787482758620694</v>
      </c>
      <c r="AW446" s="10">
        <f t="shared" si="37"/>
        <v>-16.787482758620694</v>
      </c>
      <c r="AX446" s="10">
        <f t="shared" si="37"/>
        <v>-16.787482758620694</v>
      </c>
      <c r="AY446" s="10">
        <f t="shared" si="37"/>
        <v>-16.787482758620694</v>
      </c>
      <c r="AZ446" s="10">
        <f t="shared" si="37"/>
        <v>-16.787482758620694</v>
      </c>
      <c r="BA446" s="10">
        <f t="shared" si="37"/>
        <v>-16.787482758620694</v>
      </c>
      <c r="BB446" s="10">
        <f t="shared" si="37"/>
        <v>-16.787482758620694</v>
      </c>
      <c r="BC446" s="10">
        <f t="shared" si="37"/>
        <v>-16.787482758620694</v>
      </c>
      <c r="BD446" s="10">
        <f t="shared" si="37"/>
        <v>-16.787482758620694</v>
      </c>
      <c r="BE446" s="10">
        <f t="shared" si="37"/>
        <v>-16.787482758620694</v>
      </c>
      <c r="BF446" s="10">
        <f>BE446+F104</f>
        <v>-16.787482758620694</v>
      </c>
      <c r="BG446" s="10">
        <f>BE446</f>
        <v>-16.787482758620694</v>
      </c>
      <c r="BH446" s="10">
        <f>BG446</f>
        <v>-16.787482758620694</v>
      </c>
      <c r="BI446" s="10">
        <f t="shared" ref="BI446:BY446" si="38">BH446</f>
        <v>-16.787482758620694</v>
      </c>
      <c r="BJ446" s="10">
        <f t="shared" si="38"/>
        <v>-16.787482758620694</v>
      </c>
      <c r="BK446" s="10">
        <f t="shared" si="38"/>
        <v>-16.787482758620694</v>
      </c>
      <c r="BL446" s="10">
        <f t="shared" si="38"/>
        <v>-16.787482758620694</v>
      </c>
      <c r="BM446" s="10">
        <f t="shared" si="38"/>
        <v>-16.787482758620694</v>
      </c>
      <c r="BN446" s="10">
        <f t="shared" si="38"/>
        <v>-16.787482758620694</v>
      </c>
      <c r="BO446" s="10">
        <f t="shared" si="38"/>
        <v>-16.787482758620694</v>
      </c>
      <c r="BP446" s="10">
        <f t="shared" si="38"/>
        <v>-16.787482758620694</v>
      </c>
      <c r="BQ446" s="10">
        <f t="shared" si="38"/>
        <v>-16.787482758620694</v>
      </c>
      <c r="BR446" s="10">
        <f t="shared" si="38"/>
        <v>-16.787482758620694</v>
      </c>
      <c r="BS446" s="10">
        <f t="shared" si="38"/>
        <v>-16.787482758620694</v>
      </c>
      <c r="BT446" s="10">
        <f t="shared" si="38"/>
        <v>-16.787482758620694</v>
      </c>
      <c r="BU446" s="10">
        <f t="shared" si="38"/>
        <v>-16.787482758620694</v>
      </c>
      <c r="BV446" s="10">
        <f t="shared" si="38"/>
        <v>-16.787482758620694</v>
      </c>
      <c r="BW446" s="10">
        <f t="shared" si="38"/>
        <v>-16.787482758620694</v>
      </c>
      <c r="BX446" s="10">
        <f t="shared" si="38"/>
        <v>-16.787482758620694</v>
      </c>
      <c r="BY446" s="10">
        <f t="shared" si="38"/>
        <v>-16.787482758620694</v>
      </c>
    </row>
    <row r="447" spans="2:77">
      <c r="B447" s="3" t="s">
        <v>102</v>
      </c>
      <c r="C447" s="10">
        <f t="shared" ref="C447:AH447" si="39">C93</f>
        <v>145.54949999999999</v>
      </c>
      <c r="D447" s="10">
        <f t="shared" si="39"/>
        <v>145.54949999999999</v>
      </c>
      <c r="E447" s="10">
        <f t="shared" si="39"/>
        <v>145.54949999999999</v>
      </c>
      <c r="F447" s="10">
        <f t="shared" si="39"/>
        <v>145.54949999999999</v>
      </c>
      <c r="G447" s="10">
        <f t="shared" si="39"/>
        <v>145.54949999999999</v>
      </c>
      <c r="H447" s="10">
        <f t="shared" si="39"/>
        <v>145.54949999999999</v>
      </c>
      <c r="I447" s="10">
        <f t="shared" si="39"/>
        <v>145.54949999999999</v>
      </c>
      <c r="J447" s="10">
        <f t="shared" si="39"/>
        <v>145.54949999999999</v>
      </c>
      <c r="K447" s="10">
        <f t="shared" si="39"/>
        <v>145.54949999999999</v>
      </c>
      <c r="L447" s="10">
        <f t="shared" si="39"/>
        <v>145.54949999999999</v>
      </c>
      <c r="M447" s="10">
        <f t="shared" si="39"/>
        <v>145.54949999999999</v>
      </c>
      <c r="N447" s="10">
        <f t="shared" si="39"/>
        <v>145.54949999999999</v>
      </c>
      <c r="O447" s="10">
        <f t="shared" si="39"/>
        <v>145.54949999999999</v>
      </c>
      <c r="P447" s="10">
        <f t="shared" si="39"/>
        <v>145.54949999999999</v>
      </c>
      <c r="Q447" s="10">
        <f t="shared" si="39"/>
        <v>145.54949999999999</v>
      </c>
      <c r="R447" s="10">
        <f t="shared" si="39"/>
        <v>145.54949999999999</v>
      </c>
      <c r="S447" s="10">
        <f t="shared" si="39"/>
        <v>145.54949999999999</v>
      </c>
      <c r="T447" s="10">
        <f t="shared" si="39"/>
        <v>145.54949999999999</v>
      </c>
      <c r="U447" s="10">
        <f t="shared" si="39"/>
        <v>145.54949999999999</v>
      </c>
      <c r="V447" s="10">
        <f t="shared" si="39"/>
        <v>145.54949999999999</v>
      </c>
      <c r="W447" s="10">
        <f t="shared" si="39"/>
        <v>145.54949999999999</v>
      </c>
      <c r="X447" s="10">
        <f t="shared" si="39"/>
        <v>145.54949999999999</v>
      </c>
      <c r="Y447" s="10">
        <f t="shared" si="39"/>
        <v>145.54949999999999</v>
      </c>
      <c r="Z447" s="10">
        <f t="shared" si="39"/>
        <v>145.54949999999999</v>
      </c>
      <c r="AA447" s="10">
        <f t="shared" si="39"/>
        <v>145.54949999999999</v>
      </c>
      <c r="AB447" s="10">
        <f t="shared" si="39"/>
        <v>0</v>
      </c>
      <c r="AC447" s="10">
        <f t="shared" si="39"/>
        <v>0</v>
      </c>
      <c r="AD447" s="10">
        <f t="shared" si="39"/>
        <v>0</v>
      </c>
      <c r="AE447" s="10">
        <f t="shared" si="39"/>
        <v>0</v>
      </c>
      <c r="AF447" s="10">
        <f t="shared" si="39"/>
        <v>0</v>
      </c>
      <c r="AG447" s="10">
        <f t="shared" si="39"/>
        <v>0</v>
      </c>
      <c r="AH447" s="10">
        <f t="shared" si="39"/>
        <v>0</v>
      </c>
      <c r="AI447" s="10">
        <f t="shared" ref="AI447:BN447" si="40">AI93</f>
        <v>0</v>
      </c>
      <c r="AJ447" s="10">
        <f t="shared" si="40"/>
        <v>0</v>
      </c>
      <c r="AK447" s="10">
        <f t="shared" si="40"/>
        <v>0</v>
      </c>
      <c r="AL447" s="10">
        <f t="shared" si="40"/>
        <v>0</v>
      </c>
      <c r="AM447" s="10">
        <f t="shared" si="40"/>
        <v>0</v>
      </c>
      <c r="AN447" s="10">
        <f t="shared" si="40"/>
        <v>0</v>
      </c>
      <c r="AO447" s="10">
        <f t="shared" si="40"/>
        <v>0</v>
      </c>
      <c r="AP447" s="10">
        <f t="shared" si="40"/>
        <v>0</v>
      </c>
      <c r="AQ447" s="10">
        <f t="shared" si="40"/>
        <v>0</v>
      </c>
      <c r="AR447" s="10">
        <f t="shared" si="40"/>
        <v>0</v>
      </c>
      <c r="AS447" s="10">
        <f t="shared" si="40"/>
        <v>0</v>
      </c>
      <c r="AT447" s="10">
        <f t="shared" si="40"/>
        <v>0</v>
      </c>
      <c r="AU447" s="10">
        <f t="shared" si="40"/>
        <v>0</v>
      </c>
      <c r="AV447" s="10">
        <f t="shared" si="40"/>
        <v>0</v>
      </c>
      <c r="AW447" s="10">
        <f t="shared" si="40"/>
        <v>0</v>
      </c>
      <c r="AX447" s="10">
        <f t="shared" si="40"/>
        <v>0</v>
      </c>
      <c r="AY447" s="10">
        <f t="shared" si="40"/>
        <v>0</v>
      </c>
      <c r="AZ447" s="10">
        <f t="shared" si="40"/>
        <v>0</v>
      </c>
      <c r="BA447" s="10">
        <f t="shared" si="40"/>
        <v>0</v>
      </c>
      <c r="BB447" s="10">
        <f t="shared" si="40"/>
        <v>0</v>
      </c>
      <c r="BC447" s="10">
        <f t="shared" si="40"/>
        <v>0</v>
      </c>
      <c r="BD447" s="10">
        <f t="shared" si="40"/>
        <v>0</v>
      </c>
      <c r="BE447" s="10">
        <f t="shared" si="40"/>
        <v>0</v>
      </c>
      <c r="BF447" s="10">
        <f t="shared" si="40"/>
        <v>0</v>
      </c>
      <c r="BG447" s="10">
        <f t="shared" si="40"/>
        <v>0</v>
      </c>
      <c r="BH447" s="10">
        <f t="shared" si="40"/>
        <v>0</v>
      </c>
      <c r="BI447" s="10">
        <f t="shared" si="40"/>
        <v>0</v>
      </c>
      <c r="BJ447" s="10">
        <f t="shared" si="40"/>
        <v>0</v>
      </c>
      <c r="BK447" s="10">
        <f t="shared" si="40"/>
        <v>0</v>
      </c>
      <c r="BL447" s="10">
        <f t="shared" si="40"/>
        <v>0</v>
      </c>
      <c r="BM447" s="10">
        <f t="shared" si="40"/>
        <v>0</v>
      </c>
      <c r="BN447" s="10">
        <f t="shared" si="40"/>
        <v>0</v>
      </c>
      <c r="BO447" s="10">
        <f t="shared" ref="BO447:BY447" si="41">BO93</f>
        <v>0</v>
      </c>
      <c r="BP447" s="10">
        <f t="shared" si="41"/>
        <v>0</v>
      </c>
      <c r="BQ447" s="10">
        <f t="shared" si="41"/>
        <v>0</v>
      </c>
      <c r="BR447" s="10">
        <f t="shared" si="41"/>
        <v>0</v>
      </c>
      <c r="BS447" s="10">
        <f t="shared" si="41"/>
        <v>0</v>
      </c>
      <c r="BT447" s="10">
        <f t="shared" si="41"/>
        <v>0</v>
      </c>
      <c r="BU447" s="10">
        <f t="shared" si="41"/>
        <v>0</v>
      </c>
      <c r="BV447" s="10">
        <f t="shared" si="41"/>
        <v>0</v>
      </c>
      <c r="BW447" s="10">
        <f t="shared" si="41"/>
        <v>0</v>
      </c>
      <c r="BX447" s="10">
        <f t="shared" si="41"/>
        <v>0</v>
      </c>
      <c r="BY447" s="10">
        <f t="shared" si="41"/>
        <v>0</v>
      </c>
    </row>
    <row r="448" spans="2:77">
      <c r="B448" s="53" t="s">
        <v>111</v>
      </c>
      <c r="C448" s="54">
        <f>C445*C438</f>
        <v>114050.10149999999</v>
      </c>
      <c r="D448" s="54">
        <f t="shared" ref="D448:BO448" si="42">D445*D438</f>
        <v>124899.15672413794</v>
      </c>
      <c r="E448" s="54">
        <f t="shared" si="42"/>
        <v>127474.39706896553</v>
      </c>
      <c r="F448" s="54">
        <f t="shared" si="42"/>
        <v>130693.44749999999</v>
      </c>
      <c r="G448" s="54">
        <f t="shared" si="42"/>
        <v>133912.49793103448</v>
      </c>
      <c r="H448" s="54">
        <f t="shared" si="42"/>
        <v>137260.31037931034</v>
      </c>
      <c r="I448" s="54">
        <f t="shared" si="42"/>
        <v>145372.31746551723</v>
      </c>
      <c r="J448" s="54">
        <f t="shared" si="42"/>
        <v>153999.37262068965</v>
      </c>
      <c r="K448" s="54">
        <f t="shared" si="42"/>
        <v>163012.71382758621</v>
      </c>
      <c r="L448" s="54">
        <f t="shared" si="42"/>
        <v>172669.86512068965</v>
      </c>
      <c r="M448" s="54">
        <f t="shared" si="42"/>
        <v>182842.06448275864</v>
      </c>
      <c r="N448" s="54">
        <f t="shared" si="42"/>
        <v>193529.31191379309</v>
      </c>
      <c r="O448" s="54">
        <f t="shared" si="42"/>
        <v>204989.13144827588</v>
      </c>
      <c r="P448" s="54">
        <f t="shared" si="42"/>
        <v>217092.76106896551</v>
      </c>
      <c r="Q448" s="54">
        <f t="shared" si="42"/>
        <v>229840.20077586206</v>
      </c>
      <c r="R448" s="54">
        <f t="shared" si="42"/>
        <v>243360.21258620691</v>
      </c>
      <c r="S448" s="54">
        <f t="shared" si="42"/>
        <v>246579.26301724138</v>
      </c>
      <c r="T448" s="54">
        <f t="shared" si="42"/>
        <v>249669.55143103449</v>
      </c>
      <c r="U448" s="54">
        <f t="shared" si="42"/>
        <v>253017.36387931035</v>
      </c>
      <c r="V448" s="54">
        <f t="shared" si="42"/>
        <v>256236.41431034484</v>
      </c>
      <c r="W448" s="54">
        <f t="shared" si="42"/>
        <v>259584.2267586207</v>
      </c>
      <c r="X448" s="54">
        <f t="shared" si="42"/>
        <v>262932.03920689656</v>
      </c>
      <c r="Y448" s="54">
        <f t="shared" si="42"/>
        <v>266279.85165517242</v>
      </c>
      <c r="Z448" s="54">
        <f t="shared" si="42"/>
        <v>269756.42612068966</v>
      </c>
      <c r="AA448" s="54">
        <f t="shared" si="42"/>
        <v>273233.00058620691</v>
      </c>
      <c r="AB448" s="54">
        <f t="shared" si="42"/>
        <v>-36093.08793103449</v>
      </c>
      <c r="AC448" s="54">
        <f t="shared" si="42"/>
        <v>-37536.811448275868</v>
      </c>
      <c r="AD448" s="54">
        <f t="shared" si="42"/>
        <v>-39030.897413793115</v>
      </c>
      <c r="AE448" s="54">
        <f t="shared" si="42"/>
        <v>-40592.133310344841</v>
      </c>
      <c r="AF448" s="54">
        <f t="shared" si="42"/>
        <v>-42220.519137931049</v>
      </c>
      <c r="AG448" s="54">
        <f t="shared" si="42"/>
        <v>-43916.054896551737</v>
      </c>
      <c r="AH448" s="54">
        <f t="shared" si="42"/>
        <v>-45661.953103448286</v>
      </c>
      <c r="AI448" s="54">
        <f t="shared" si="42"/>
        <v>-47491.788724137943</v>
      </c>
      <c r="AJ448" s="54">
        <f t="shared" si="42"/>
        <v>-49388.774275862081</v>
      </c>
      <c r="AK448" s="54">
        <f t="shared" si="42"/>
        <v>-51369.697241379326</v>
      </c>
      <c r="AL448" s="54">
        <f t="shared" si="42"/>
        <v>-53434.557620689666</v>
      </c>
      <c r="AM448" s="54">
        <f t="shared" si="42"/>
        <v>-55566.5679310345</v>
      </c>
      <c r="AN448" s="54">
        <f t="shared" si="42"/>
        <v>-57782.515655172429</v>
      </c>
      <c r="AO448" s="54">
        <f t="shared" si="42"/>
        <v>-60099.188275862085</v>
      </c>
      <c r="AP448" s="54">
        <f t="shared" si="42"/>
        <v>-61895.448931034502</v>
      </c>
      <c r="AQ448" s="54">
        <f t="shared" si="42"/>
        <v>-63758.859517241399</v>
      </c>
      <c r="AR448" s="54">
        <f t="shared" si="42"/>
        <v>-65672.632551724149</v>
      </c>
      <c r="AS448" s="54">
        <f t="shared" si="42"/>
        <v>-67636.768034482782</v>
      </c>
      <c r="AT448" s="54">
        <f t="shared" si="42"/>
        <v>-69668.053448275881</v>
      </c>
      <c r="AU448" s="54">
        <f t="shared" si="42"/>
        <v>-71766.488793103461</v>
      </c>
      <c r="AV448" s="54">
        <f t="shared" si="42"/>
        <v>-73915.286586206916</v>
      </c>
      <c r="AW448" s="54">
        <f t="shared" si="42"/>
        <v>-76131.234310344851</v>
      </c>
      <c r="AX448" s="54">
        <f t="shared" si="42"/>
        <v>-78414.331965517267</v>
      </c>
      <c r="AY448" s="54">
        <f t="shared" si="42"/>
        <v>-80764.579551724164</v>
      </c>
      <c r="AZ448" s="54">
        <f t="shared" si="42"/>
        <v>-83181.977068965542</v>
      </c>
      <c r="BA448" s="54">
        <f t="shared" si="42"/>
        <v>-85683.31200000002</v>
      </c>
      <c r="BB448" s="54">
        <f t="shared" si="42"/>
        <v>-88251.796862068994</v>
      </c>
      <c r="BC448" s="54">
        <f t="shared" si="42"/>
        <v>-90904.219137931053</v>
      </c>
      <c r="BD448" s="54">
        <f t="shared" si="42"/>
        <v>-93623.791344827609</v>
      </c>
      <c r="BE448" s="54">
        <f t="shared" si="42"/>
        <v>-96444.088448275885</v>
      </c>
      <c r="BF448" s="54">
        <f t="shared" si="42"/>
        <v>-99331.535482758642</v>
      </c>
      <c r="BG448" s="54">
        <f t="shared" si="42"/>
        <v>-102319.70741379313</v>
      </c>
      <c r="BH448" s="54">
        <f t="shared" si="42"/>
        <v>-105375.02927586209</v>
      </c>
      <c r="BI448" s="54">
        <f t="shared" si="42"/>
        <v>-108547.86351724141</v>
      </c>
      <c r="BJ448" s="54">
        <f t="shared" si="42"/>
        <v>-111804.63517241382</v>
      </c>
      <c r="BK448" s="54">
        <f t="shared" si="42"/>
        <v>-115145.34424137934</v>
      </c>
      <c r="BL448" s="54">
        <f t="shared" si="42"/>
        <v>-118603.56568965521</v>
      </c>
      <c r="BM448" s="54">
        <f t="shared" si="42"/>
        <v>-122162.51203448279</v>
      </c>
      <c r="BN448" s="54">
        <f t="shared" si="42"/>
        <v>-125838.97075862072</v>
      </c>
      <c r="BO448" s="54">
        <f t="shared" si="42"/>
        <v>-129599.36689655176</v>
      </c>
      <c r="BP448" s="54">
        <f t="shared" ref="BP448:BY448" si="43">BP445*BP438</f>
        <v>-133494.06289655177</v>
      </c>
      <c r="BQ448" s="54">
        <f t="shared" si="43"/>
        <v>-137506.27127586209</v>
      </c>
      <c r="BR448" s="54">
        <f t="shared" si="43"/>
        <v>-141619.20455172416</v>
      </c>
      <c r="BS448" s="54">
        <f t="shared" si="43"/>
        <v>-145866.4376896552</v>
      </c>
      <c r="BT448" s="54">
        <f t="shared" si="43"/>
        <v>-148787.45968965522</v>
      </c>
      <c r="BU448" s="54">
        <f t="shared" si="43"/>
        <v>-151758.84413793107</v>
      </c>
      <c r="BV448" s="54">
        <f t="shared" si="43"/>
        <v>-154797.37851724142</v>
      </c>
      <c r="BW448" s="54">
        <f t="shared" si="43"/>
        <v>-157903.06282758625</v>
      </c>
      <c r="BX448" s="54">
        <f t="shared" si="43"/>
        <v>-161059.10958620693</v>
      </c>
      <c r="BY448" s="54">
        <f t="shared" si="43"/>
        <v>-164282.30627586212</v>
      </c>
    </row>
    <row r="449" spans="2:77">
      <c r="B449" s="53" t="s">
        <v>148</v>
      </c>
      <c r="C449" s="54">
        <f>C447*C438</f>
        <v>138417.57449999999</v>
      </c>
      <c r="D449" s="54">
        <f t="shared" ref="D449:BO449" si="44">D447*D438</f>
        <v>141183.01499999998</v>
      </c>
      <c r="E449" s="54">
        <f t="shared" si="44"/>
        <v>144094.005</v>
      </c>
      <c r="F449" s="54">
        <f t="shared" si="44"/>
        <v>147732.74249999999</v>
      </c>
      <c r="G449" s="54">
        <f t="shared" si="44"/>
        <v>151371.47999999998</v>
      </c>
      <c r="H449" s="54">
        <f t="shared" si="44"/>
        <v>155155.76699999999</v>
      </c>
      <c r="I449" s="54">
        <f t="shared" si="44"/>
        <v>164325.3855</v>
      </c>
      <c r="J449" s="54">
        <f t="shared" si="44"/>
        <v>174077.20199999999</v>
      </c>
      <c r="K449" s="54">
        <f t="shared" si="44"/>
        <v>184265.66699999999</v>
      </c>
      <c r="L449" s="54">
        <f t="shared" si="44"/>
        <v>195181.87949999998</v>
      </c>
      <c r="M449" s="54">
        <f t="shared" si="44"/>
        <v>206680.28999999998</v>
      </c>
      <c r="N449" s="54">
        <f t="shared" si="44"/>
        <v>218760.89849999998</v>
      </c>
      <c r="O449" s="54">
        <f t="shared" si="44"/>
        <v>231714.804</v>
      </c>
      <c r="P449" s="54">
        <f t="shared" si="44"/>
        <v>245396.45699999999</v>
      </c>
      <c r="Q449" s="54">
        <f t="shared" si="44"/>
        <v>259805.85749999998</v>
      </c>
      <c r="R449" s="54">
        <f t="shared" si="44"/>
        <v>275088.55499999999</v>
      </c>
      <c r="S449" s="54">
        <f t="shared" si="44"/>
        <v>278727.29249999998</v>
      </c>
      <c r="T449" s="54">
        <f t="shared" si="44"/>
        <v>282220.48050000001</v>
      </c>
      <c r="U449" s="54">
        <f t="shared" si="44"/>
        <v>286004.76750000002</v>
      </c>
      <c r="V449" s="54">
        <f t="shared" si="44"/>
        <v>289643.505</v>
      </c>
      <c r="W449" s="54">
        <f t="shared" si="44"/>
        <v>293427.79200000002</v>
      </c>
      <c r="X449" s="54">
        <f t="shared" si="44"/>
        <v>297212.07899999997</v>
      </c>
      <c r="Y449" s="54">
        <f t="shared" si="44"/>
        <v>300996.36599999998</v>
      </c>
      <c r="Z449" s="54">
        <f t="shared" si="44"/>
        <v>304926.20250000001</v>
      </c>
      <c r="AA449" s="54">
        <f t="shared" si="44"/>
        <v>308856.03899999999</v>
      </c>
      <c r="AB449" s="54">
        <f t="shared" si="44"/>
        <v>0</v>
      </c>
      <c r="AC449" s="54">
        <f t="shared" si="44"/>
        <v>0</v>
      </c>
      <c r="AD449" s="54">
        <f t="shared" si="44"/>
        <v>0</v>
      </c>
      <c r="AE449" s="54">
        <f t="shared" si="44"/>
        <v>0</v>
      </c>
      <c r="AF449" s="54">
        <f t="shared" si="44"/>
        <v>0</v>
      </c>
      <c r="AG449" s="54">
        <f t="shared" si="44"/>
        <v>0</v>
      </c>
      <c r="AH449" s="54">
        <f t="shared" si="44"/>
        <v>0</v>
      </c>
      <c r="AI449" s="54">
        <f t="shared" si="44"/>
        <v>0</v>
      </c>
      <c r="AJ449" s="54">
        <f t="shared" si="44"/>
        <v>0</v>
      </c>
      <c r="AK449" s="54">
        <f t="shared" si="44"/>
        <v>0</v>
      </c>
      <c r="AL449" s="54">
        <f t="shared" si="44"/>
        <v>0</v>
      </c>
      <c r="AM449" s="54">
        <f t="shared" si="44"/>
        <v>0</v>
      </c>
      <c r="AN449" s="54">
        <f t="shared" si="44"/>
        <v>0</v>
      </c>
      <c r="AO449" s="54">
        <f t="shared" si="44"/>
        <v>0</v>
      </c>
      <c r="AP449" s="54">
        <f t="shared" si="44"/>
        <v>0</v>
      </c>
      <c r="AQ449" s="54">
        <f t="shared" si="44"/>
        <v>0</v>
      </c>
      <c r="AR449" s="54">
        <f t="shared" si="44"/>
        <v>0</v>
      </c>
      <c r="AS449" s="54">
        <f t="shared" si="44"/>
        <v>0</v>
      </c>
      <c r="AT449" s="54">
        <f t="shared" si="44"/>
        <v>0</v>
      </c>
      <c r="AU449" s="54">
        <f t="shared" si="44"/>
        <v>0</v>
      </c>
      <c r="AV449" s="54">
        <f t="shared" si="44"/>
        <v>0</v>
      </c>
      <c r="AW449" s="54">
        <f t="shared" si="44"/>
        <v>0</v>
      </c>
      <c r="AX449" s="54">
        <f t="shared" si="44"/>
        <v>0</v>
      </c>
      <c r="AY449" s="54">
        <f t="shared" si="44"/>
        <v>0</v>
      </c>
      <c r="AZ449" s="54">
        <f t="shared" si="44"/>
        <v>0</v>
      </c>
      <c r="BA449" s="54">
        <f t="shared" si="44"/>
        <v>0</v>
      </c>
      <c r="BB449" s="54">
        <f t="shared" si="44"/>
        <v>0</v>
      </c>
      <c r="BC449" s="54">
        <f t="shared" si="44"/>
        <v>0</v>
      </c>
      <c r="BD449" s="54">
        <f t="shared" si="44"/>
        <v>0</v>
      </c>
      <c r="BE449" s="54">
        <f t="shared" si="44"/>
        <v>0</v>
      </c>
      <c r="BF449" s="54">
        <f t="shared" si="44"/>
        <v>0</v>
      </c>
      <c r="BG449" s="54">
        <f t="shared" si="44"/>
        <v>0</v>
      </c>
      <c r="BH449" s="54">
        <f t="shared" si="44"/>
        <v>0</v>
      </c>
      <c r="BI449" s="54">
        <f t="shared" si="44"/>
        <v>0</v>
      </c>
      <c r="BJ449" s="54">
        <f t="shared" si="44"/>
        <v>0</v>
      </c>
      <c r="BK449" s="54">
        <f t="shared" si="44"/>
        <v>0</v>
      </c>
      <c r="BL449" s="54">
        <f t="shared" si="44"/>
        <v>0</v>
      </c>
      <c r="BM449" s="54">
        <f t="shared" si="44"/>
        <v>0</v>
      </c>
      <c r="BN449" s="54">
        <f t="shared" si="44"/>
        <v>0</v>
      </c>
      <c r="BO449" s="54">
        <f t="shared" si="44"/>
        <v>0</v>
      </c>
      <c r="BP449" s="54">
        <f t="shared" ref="BP449:BY449" si="45">BP447*BP438</f>
        <v>0</v>
      </c>
      <c r="BQ449" s="54">
        <f t="shared" si="45"/>
        <v>0</v>
      </c>
      <c r="BR449" s="54">
        <f t="shared" si="45"/>
        <v>0</v>
      </c>
      <c r="BS449" s="54">
        <f t="shared" si="45"/>
        <v>0</v>
      </c>
      <c r="BT449" s="54">
        <f t="shared" si="45"/>
        <v>0</v>
      </c>
      <c r="BU449" s="54">
        <f t="shared" si="45"/>
        <v>0</v>
      </c>
      <c r="BV449" s="54">
        <f t="shared" si="45"/>
        <v>0</v>
      </c>
      <c r="BW449" s="54">
        <f t="shared" si="45"/>
        <v>0</v>
      </c>
      <c r="BX449" s="54">
        <f t="shared" si="45"/>
        <v>0</v>
      </c>
      <c r="BY449" s="54">
        <f t="shared" si="45"/>
        <v>0</v>
      </c>
    </row>
    <row r="451" spans="2:77" s="41" customFormat="1">
      <c r="B451" s="51" t="s">
        <v>103</v>
      </c>
      <c r="C451" s="52">
        <f>C452+C453</f>
        <v>5788.8854590000001</v>
      </c>
      <c r="D451" s="52">
        <f t="shared" ref="D451:BO451" si="46">D452+D453</f>
        <v>5565.140637881379</v>
      </c>
      <c r="E451" s="52">
        <f t="shared" si="46"/>
        <v>5332.5602995213785</v>
      </c>
      <c r="F451" s="52">
        <f t="shared" si="46"/>
        <v>5099.9799611613789</v>
      </c>
      <c r="G451" s="52">
        <f t="shared" si="46"/>
        <v>4867.3996228013793</v>
      </c>
      <c r="H451" s="52">
        <f t="shared" si="46"/>
        <v>4634.8192844413788</v>
      </c>
      <c r="I451" s="52">
        <f t="shared" si="46"/>
        <v>4402.2389460813793</v>
      </c>
      <c r="J451" s="52">
        <f t="shared" si="46"/>
        <v>4169.6586077213788</v>
      </c>
      <c r="K451" s="52">
        <f t="shared" si="46"/>
        <v>3937.0782693613792</v>
      </c>
      <c r="L451" s="52">
        <f t="shared" si="46"/>
        <v>3704.4979310013796</v>
      </c>
      <c r="M451" s="52">
        <f t="shared" si="46"/>
        <v>3471.9175926413795</v>
      </c>
      <c r="N451" s="52">
        <f t="shared" si="46"/>
        <v>3239.3372542813795</v>
      </c>
      <c r="O451" s="52">
        <f t="shared" si="46"/>
        <v>3006.7569159213795</v>
      </c>
      <c r="P451" s="52">
        <f t="shared" si="46"/>
        <v>2774.1765775613794</v>
      </c>
      <c r="Q451" s="52">
        <f t="shared" si="46"/>
        <v>2541.5962392013794</v>
      </c>
      <c r="R451" s="52">
        <f t="shared" si="46"/>
        <v>2309.0159008413793</v>
      </c>
      <c r="S451" s="52">
        <f t="shared" si="46"/>
        <v>2076.4355624813793</v>
      </c>
      <c r="T451" s="52">
        <f t="shared" si="46"/>
        <v>1843.8552241213795</v>
      </c>
      <c r="U451" s="52">
        <f t="shared" si="46"/>
        <v>1611.2748857613794</v>
      </c>
      <c r="V451" s="52">
        <f t="shared" si="46"/>
        <v>1378.6945474013794</v>
      </c>
      <c r="W451" s="52">
        <f t="shared" si="46"/>
        <v>1146.1142090413794</v>
      </c>
      <c r="X451" s="52">
        <f t="shared" si="46"/>
        <v>913.53387068137931</v>
      </c>
      <c r="Y451" s="52">
        <f t="shared" si="46"/>
        <v>680.95353232137927</v>
      </c>
      <c r="Z451" s="52">
        <f t="shared" si="46"/>
        <v>448.37319396137934</v>
      </c>
      <c r="AA451" s="52">
        <f t="shared" si="46"/>
        <v>215.79285560137933</v>
      </c>
      <c r="AB451" s="52">
        <f t="shared" si="46"/>
        <v>-16.787482758620694</v>
      </c>
      <c r="AC451" s="52">
        <f t="shared" si="46"/>
        <v>-16.787482758620694</v>
      </c>
      <c r="AD451" s="52">
        <f t="shared" si="46"/>
        <v>-16.787482758620694</v>
      </c>
      <c r="AE451" s="52">
        <f t="shared" si="46"/>
        <v>-16.787482758620694</v>
      </c>
      <c r="AF451" s="52">
        <f t="shared" si="46"/>
        <v>-16.787482758620694</v>
      </c>
      <c r="AG451" s="52">
        <f t="shared" si="46"/>
        <v>-16.787482758620694</v>
      </c>
      <c r="AH451" s="52">
        <f t="shared" si="46"/>
        <v>-16.787482758620694</v>
      </c>
      <c r="AI451" s="52">
        <f t="shared" si="46"/>
        <v>-16.787482758620694</v>
      </c>
      <c r="AJ451" s="52">
        <f t="shared" si="46"/>
        <v>-16.787482758620694</v>
      </c>
      <c r="AK451" s="52">
        <f t="shared" si="46"/>
        <v>-16.787482758620694</v>
      </c>
      <c r="AL451" s="52">
        <f t="shared" si="46"/>
        <v>-16.787482758620694</v>
      </c>
      <c r="AM451" s="52">
        <f t="shared" si="46"/>
        <v>-16.787482758620694</v>
      </c>
      <c r="AN451" s="52">
        <f t="shared" si="46"/>
        <v>-16.787482758620694</v>
      </c>
      <c r="AO451" s="52">
        <f t="shared" si="46"/>
        <v>-16.787482758620694</v>
      </c>
      <c r="AP451" s="52">
        <f t="shared" si="46"/>
        <v>-16.787482758620694</v>
      </c>
      <c r="AQ451" s="52">
        <f t="shared" si="46"/>
        <v>-16.787482758620694</v>
      </c>
      <c r="AR451" s="52">
        <f t="shared" si="46"/>
        <v>-16.787482758620694</v>
      </c>
      <c r="AS451" s="52">
        <f t="shared" si="46"/>
        <v>-16.787482758620694</v>
      </c>
      <c r="AT451" s="52">
        <f t="shared" si="46"/>
        <v>-16.787482758620694</v>
      </c>
      <c r="AU451" s="52">
        <f t="shared" si="46"/>
        <v>-16.787482758620694</v>
      </c>
      <c r="AV451" s="52">
        <f t="shared" si="46"/>
        <v>-16.787482758620694</v>
      </c>
      <c r="AW451" s="52">
        <f t="shared" si="46"/>
        <v>-16.787482758620694</v>
      </c>
      <c r="AX451" s="52">
        <f t="shared" si="46"/>
        <v>-16.787482758620694</v>
      </c>
      <c r="AY451" s="52">
        <f t="shared" si="46"/>
        <v>-16.787482758620694</v>
      </c>
      <c r="AZ451" s="52">
        <f t="shared" si="46"/>
        <v>-16.787482758620694</v>
      </c>
      <c r="BA451" s="52">
        <f t="shared" si="46"/>
        <v>-16.787482758620694</v>
      </c>
      <c r="BB451" s="52">
        <f t="shared" si="46"/>
        <v>-16.787482758620694</v>
      </c>
      <c r="BC451" s="52">
        <f t="shared" si="46"/>
        <v>-16.787482758620694</v>
      </c>
      <c r="BD451" s="52">
        <f t="shared" si="46"/>
        <v>-16.787482758620694</v>
      </c>
      <c r="BE451" s="52">
        <f t="shared" si="46"/>
        <v>-16.787482758620694</v>
      </c>
      <c r="BF451" s="52">
        <f t="shared" si="46"/>
        <v>-16.787482758620694</v>
      </c>
      <c r="BG451" s="52">
        <f t="shared" si="46"/>
        <v>-16.787482758620694</v>
      </c>
      <c r="BH451" s="52">
        <f t="shared" si="46"/>
        <v>-16.787482758620694</v>
      </c>
      <c r="BI451" s="52">
        <f t="shared" si="46"/>
        <v>-16.787482758620694</v>
      </c>
      <c r="BJ451" s="52">
        <f t="shared" si="46"/>
        <v>-16.787482758620694</v>
      </c>
      <c r="BK451" s="52">
        <f t="shared" si="46"/>
        <v>-16.787482758620694</v>
      </c>
      <c r="BL451" s="52">
        <f t="shared" si="46"/>
        <v>-16.787482758620694</v>
      </c>
      <c r="BM451" s="52">
        <f t="shared" si="46"/>
        <v>-16.787482758620694</v>
      </c>
      <c r="BN451" s="52">
        <f t="shared" si="46"/>
        <v>-16.787482758620694</v>
      </c>
      <c r="BO451" s="52">
        <f t="shared" si="46"/>
        <v>-16.787482758620694</v>
      </c>
      <c r="BP451" s="52">
        <f t="shared" ref="BP451:BY451" si="47">BP452+BP453</f>
        <v>-16.787482758620694</v>
      </c>
      <c r="BQ451" s="52">
        <f t="shared" si="47"/>
        <v>-16.787482758620694</v>
      </c>
      <c r="BR451" s="52">
        <f t="shared" si="47"/>
        <v>-16.787482758620694</v>
      </c>
      <c r="BS451" s="52">
        <f t="shared" si="47"/>
        <v>-16.787482758620694</v>
      </c>
      <c r="BT451" s="52">
        <f t="shared" si="47"/>
        <v>-16.787482758620694</v>
      </c>
      <c r="BU451" s="52">
        <f t="shared" si="47"/>
        <v>-16.787482758620694</v>
      </c>
      <c r="BV451" s="52">
        <f t="shared" si="47"/>
        <v>-16.787482758620694</v>
      </c>
      <c r="BW451" s="52">
        <f t="shared" si="47"/>
        <v>-16.787482758620694</v>
      </c>
      <c r="BX451" s="52">
        <f t="shared" si="47"/>
        <v>-16.787482758620694</v>
      </c>
      <c r="BY451" s="52">
        <f t="shared" si="47"/>
        <v>-16.787482758620694</v>
      </c>
    </row>
    <row r="452" spans="2:77">
      <c r="B452" s="3" t="s">
        <v>101</v>
      </c>
      <c r="C452" s="10">
        <f>C446</f>
        <v>-25.623000000000005</v>
      </c>
      <c r="D452" s="10">
        <f t="shared" ref="D452:BO452" si="48">D446</f>
        <v>-16.787482758620694</v>
      </c>
      <c r="E452" s="10">
        <f t="shared" si="48"/>
        <v>-16.787482758620694</v>
      </c>
      <c r="F452" s="10">
        <f t="shared" si="48"/>
        <v>-16.787482758620694</v>
      </c>
      <c r="G452" s="10">
        <f t="shared" si="48"/>
        <v>-16.787482758620694</v>
      </c>
      <c r="H452" s="10">
        <f t="shared" si="48"/>
        <v>-16.787482758620694</v>
      </c>
      <c r="I452" s="10">
        <f t="shared" si="48"/>
        <v>-16.787482758620694</v>
      </c>
      <c r="J452" s="10">
        <f t="shared" si="48"/>
        <v>-16.787482758620694</v>
      </c>
      <c r="K452" s="10">
        <f t="shared" si="48"/>
        <v>-16.787482758620694</v>
      </c>
      <c r="L452" s="10">
        <f t="shared" si="48"/>
        <v>-16.787482758620694</v>
      </c>
      <c r="M452" s="10">
        <f t="shared" si="48"/>
        <v>-16.787482758620694</v>
      </c>
      <c r="N452" s="10">
        <f t="shared" si="48"/>
        <v>-16.787482758620694</v>
      </c>
      <c r="O452" s="10">
        <f t="shared" si="48"/>
        <v>-16.787482758620694</v>
      </c>
      <c r="P452" s="10">
        <f t="shared" si="48"/>
        <v>-16.787482758620694</v>
      </c>
      <c r="Q452" s="10">
        <f t="shared" si="48"/>
        <v>-16.787482758620694</v>
      </c>
      <c r="R452" s="10">
        <f t="shared" si="48"/>
        <v>-16.787482758620694</v>
      </c>
      <c r="S452" s="10">
        <f t="shared" si="48"/>
        <v>-16.787482758620694</v>
      </c>
      <c r="T452" s="10">
        <f t="shared" si="48"/>
        <v>-16.787482758620694</v>
      </c>
      <c r="U452" s="10">
        <f t="shared" si="48"/>
        <v>-16.787482758620694</v>
      </c>
      <c r="V452" s="10">
        <f t="shared" si="48"/>
        <v>-16.787482758620694</v>
      </c>
      <c r="W452" s="10">
        <f t="shared" si="48"/>
        <v>-16.787482758620694</v>
      </c>
      <c r="X452" s="10">
        <f t="shared" si="48"/>
        <v>-16.787482758620694</v>
      </c>
      <c r="Y452" s="10">
        <f t="shared" si="48"/>
        <v>-16.787482758620694</v>
      </c>
      <c r="Z452" s="10">
        <f t="shared" si="48"/>
        <v>-16.787482758620694</v>
      </c>
      <c r="AA452" s="10">
        <f t="shared" si="48"/>
        <v>-16.787482758620694</v>
      </c>
      <c r="AB452" s="10">
        <f t="shared" si="48"/>
        <v>-16.787482758620694</v>
      </c>
      <c r="AC452" s="10">
        <f t="shared" si="48"/>
        <v>-16.787482758620694</v>
      </c>
      <c r="AD452" s="10">
        <f t="shared" si="48"/>
        <v>-16.787482758620694</v>
      </c>
      <c r="AE452" s="10">
        <f t="shared" si="48"/>
        <v>-16.787482758620694</v>
      </c>
      <c r="AF452" s="10">
        <f t="shared" si="48"/>
        <v>-16.787482758620694</v>
      </c>
      <c r="AG452" s="10">
        <f t="shared" si="48"/>
        <v>-16.787482758620694</v>
      </c>
      <c r="AH452" s="10">
        <f t="shared" si="48"/>
        <v>-16.787482758620694</v>
      </c>
      <c r="AI452" s="10">
        <f t="shared" si="48"/>
        <v>-16.787482758620694</v>
      </c>
      <c r="AJ452" s="10">
        <f t="shared" si="48"/>
        <v>-16.787482758620694</v>
      </c>
      <c r="AK452" s="10">
        <f t="shared" si="48"/>
        <v>-16.787482758620694</v>
      </c>
      <c r="AL452" s="10">
        <f t="shared" si="48"/>
        <v>-16.787482758620694</v>
      </c>
      <c r="AM452" s="10">
        <f t="shared" si="48"/>
        <v>-16.787482758620694</v>
      </c>
      <c r="AN452" s="10">
        <f t="shared" si="48"/>
        <v>-16.787482758620694</v>
      </c>
      <c r="AO452" s="10">
        <f t="shared" si="48"/>
        <v>-16.787482758620694</v>
      </c>
      <c r="AP452" s="10">
        <f t="shared" si="48"/>
        <v>-16.787482758620694</v>
      </c>
      <c r="AQ452" s="10">
        <f t="shared" si="48"/>
        <v>-16.787482758620694</v>
      </c>
      <c r="AR452" s="10">
        <f t="shared" si="48"/>
        <v>-16.787482758620694</v>
      </c>
      <c r="AS452" s="10">
        <f t="shared" si="48"/>
        <v>-16.787482758620694</v>
      </c>
      <c r="AT452" s="10">
        <f t="shared" si="48"/>
        <v>-16.787482758620694</v>
      </c>
      <c r="AU452" s="10">
        <f t="shared" si="48"/>
        <v>-16.787482758620694</v>
      </c>
      <c r="AV452" s="10">
        <f t="shared" si="48"/>
        <v>-16.787482758620694</v>
      </c>
      <c r="AW452" s="10">
        <f t="shared" si="48"/>
        <v>-16.787482758620694</v>
      </c>
      <c r="AX452" s="10">
        <f t="shared" si="48"/>
        <v>-16.787482758620694</v>
      </c>
      <c r="AY452" s="10">
        <f t="shared" si="48"/>
        <v>-16.787482758620694</v>
      </c>
      <c r="AZ452" s="10">
        <f t="shared" si="48"/>
        <v>-16.787482758620694</v>
      </c>
      <c r="BA452" s="10">
        <f t="shared" si="48"/>
        <v>-16.787482758620694</v>
      </c>
      <c r="BB452" s="10">
        <f t="shared" si="48"/>
        <v>-16.787482758620694</v>
      </c>
      <c r="BC452" s="10">
        <f t="shared" si="48"/>
        <v>-16.787482758620694</v>
      </c>
      <c r="BD452" s="10">
        <f t="shared" si="48"/>
        <v>-16.787482758620694</v>
      </c>
      <c r="BE452" s="10">
        <f t="shared" si="48"/>
        <v>-16.787482758620694</v>
      </c>
      <c r="BF452" s="10">
        <f t="shared" si="48"/>
        <v>-16.787482758620694</v>
      </c>
      <c r="BG452" s="10">
        <f t="shared" si="48"/>
        <v>-16.787482758620694</v>
      </c>
      <c r="BH452" s="10">
        <f t="shared" si="48"/>
        <v>-16.787482758620694</v>
      </c>
      <c r="BI452" s="10">
        <f t="shared" si="48"/>
        <v>-16.787482758620694</v>
      </c>
      <c r="BJ452" s="10">
        <f t="shared" si="48"/>
        <v>-16.787482758620694</v>
      </c>
      <c r="BK452" s="10">
        <f t="shared" si="48"/>
        <v>-16.787482758620694</v>
      </c>
      <c r="BL452" s="10">
        <f t="shared" si="48"/>
        <v>-16.787482758620694</v>
      </c>
      <c r="BM452" s="10">
        <f t="shared" si="48"/>
        <v>-16.787482758620694</v>
      </c>
      <c r="BN452" s="10">
        <f t="shared" si="48"/>
        <v>-16.787482758620694</v>
      </c>
      <c r="BO452" s="10">
        <f t="shared" si="48"/>
        <v>-16.787482758620694</v>
      </c>
      <c r="BP452" s="10">
        <f t="shared" ref="BP452:BY452" si="49">BP446</f>
        <v>-16.787482758620694</v>
      </c>
      <c r="BQ452" s="10">
        <f t="shared" si="49"/>
        <v>-16.787482758620694</v>
      </c>
      <c r="BR452" s="10">
        <f t="shared" si="49"/>
        <v>-16.787482758620694</v>
      </c>
      <c r="BS452" s="10">
        <f t="shared" si="49"/>
        <v>-16.787482758620694</v>
      </c>
      <c r="BT452" s="10">
        <f t="shared" si="49"/>
        <v>-16.787482758620694</v>
      </c>
      <c r="BU452" s="10">
        <f t="shared" si="49"/>
        <v>-16.787482758620694</v>
      </c>
      <c r="BV452" s="10">
        <f t="shared" si="49"/>
        <v>-16.787482758620694</v>
      </c>
      <c r="BW452" s="10">
        <f t="shared" si="49"/>
        <v>-16.787482758620694</v>
      </c>
      <c r="BX452" s="10">
        <f t="shared" si="49"/>
        <v>-16.787482758620694</v>
      </c>
      <c r="BY452" s="10">
        <f t="shared" si="49"/>
        <v>-16.787482758620694</v>
      </c>
    </row>
    <row r="453" spans="2:77">
      <c r="B453" s="3" t="s">
        <v>102</v>
      </c>
      <c r="C453" s="10">
        <f t="shared" ref="C453:AH453" si="50">C94</f>
        <v>5814.5084589999997</v>
      </c>
      <c r="D453" s="10">
        <f t="shared" si="50"/>
        <v>5581.9281206400001</v>
      </c>
      <c r="E453" s="10">
        <f t="shared" si="50"/>
        <v>5349.3477822799996</v>
      </c>
      <c r="F453" s="10">
        <f t="shared" si="50"/>
        <v>5116.76744392</v>
      </c>
      <c r="G453" s="10">
        <f t="shared" si="50"/>
        <v>4884.1871055600004</v>
      </c>
      <c r="H453" s="10">
        <f t="shared" si="50"/>
        <v>4651.6067671999999</v>
      </c>
      <c r="I453" s="10">
        <f t="shared" si="50"/>
        <v>4419.0264288400003</v>
      </c>
      <c r="J453" s="10">
        <f t="shared" si="50"/>
        <v>4186.4460904799998</v>
      </c>
      <c r="K453" s="10">
        <f t="shared" si="50"/>
        <v>3953.8657521199998</v>
      </c>
      <c r="L453" s="10">
        <f t="shared" si="50"/>
        <v>3721.2854137600002</v>
      </c>
      <c r="M453" s="10">
        <f t="shared" si="50"/>
        <v>3488.7050754000002</v>
      </c>
      <c r="N453" s="10">
        <f t="shared" si="50"/>
        <v>3256.1247370400001</v>
      </c>
      <c r="O453" s="10">
        <f t="shared" si="50"/>
        <v>3023.5443986800001</v>
      </c>
      <c r="P453" s="10">
        <f t="shared" si="50"/>
        <v>2790.96406032</v>
      </c>
      <c r="Q453" s="10">
        <f t="shared" si="50"/>
        <v>2558.38372196</v>
      </c>
      <c r="R453" s="10">
        <f t="shared" si="50"/>
        <v>2325.8033836</v>
      </c>
      <c r="S453" s="10">
        <f t="shared" si="50"/>
        <v>2093.2230452399999</v>
      </c>
      <c r="T453" s="10">
        <f t="shared" si="50"/>
        <v>1860.6427068800001</v>
      </c>
      <c r="U453" s="10">
        <f t="shared" si="50"/>
        <v>1628.0623685200001</v>
      </c>
      <c r="V453" s="10">
        <f t="shared" si="50"/>
        <v>1395.48203016</v>
      </c>
      <c r="W453" s="10">
        <f t="shared" si="50"/>
        <v>1162.9016918</v>
      </c>
      <c r="X453" s="10">
        <f t="shared" si="50"/>
        <v>930.32135344000005</v>
      </c>
      <c r="Y453" s="10">
        <f t="shared" si="50"/>
        <v>697.74101508000001</v>
      </c>
      <c r="Z453" s="10">
        <f t="shared" si="50"/>
        <v>465.16067672000003</v>
      </c>
      <c r="AA453" s="10">
        <f t="shared" si="50"/>
        <v>232.58033836000001</v>
      </c>
      <c r="AB453" s="10">
        <f t="shared" si="50"/>
        <v>0</v>
      </c>
      <c r="AC453" s="10">
        <f t="shared" si="50"/>
        <v>0</v>
      </c>
      <c r="AD453" s="10">
        <f t="shared" si="50"/>
        <v>0</v>
      </c>
      <c r="AE453" s="10">
        <f t="shared" si="50"/>
        <v>0</v>
      </c>
      <c r="AF453" s="10">
        <f t="shared" si="50"/>
        <v>0</v>
      </c>
      <c r="AG453" s="10">
        <f t="shared" si="50"/>
        <v>0</v>
      </c>
      <c r="AH453" s="10">
        <f t="shared" si="50"/>
        <v>0</v>
      </c>
      <c r="AI453" s="10">
        <f t="shared" ref="AI453:BN453" si="51">AI94</f>
        <v>0</v>
      </c>
      <c r="AJ453" s="10">
        <f t="shared" si="51"/>
        <v>0</v>
      </c>
      <c r="AK453" s="10">
        <f t="shared" si="51"/>
        <v>0</v>
      </c>
      <c r="AL453" s="10">
        <f t="shared" si="51"/>
        <v>0</v>
      </c>
      <c r="AM453" s="10">
        <f t="shared" si="51"/>
        <v>0</v>
      </c>
      <c r="AN453" s="10">
        <f t="shared" si="51"/>
        <v>0</v>
      </c>
      <c r="AO453" s="10">
        <f t="shared" si="51"/>
        <v>0</v>
      </c>
      <c r="AP453" s="10">
        <f t="shared" si="51"/>
        <v>0</v>
      </c>
      <c r="AQ453" s="10">
        <f t="shared" si="51"/>
        <v>0</v>
      </c>
      <c r="AR453" s="10">
        <f t="shared" si="51"/>
        <v>0</v>
      </c>
      <c r="AS453" s="10">
        <f t="shared" si="51"/>
        <v>0</v>
      </c>
      <c r="AT453" s="10">
        <f t="shared" si="51"/>
        <v>0</v>
      </c>
      <c r="AU453" s="10">
        <f t="shared" si="51"/>
        <v>0</v>
      </c>
      <c r="AV453" s="10">
        <f t="shared" si="51"/>
        <v>0</v>
      </c>
      <c r="AW453" s="10">
        <f t="shared" si="51"/>
        <v>0</v>
      </c>
      <c r="AX453" s="10">
        <f t="shared" si="51"/>
        <v>0</v>
      </c>
      <c r="AY453" s="10">
        <f t="shared" si="51"/>
        <v>0</v>
      </c>
      <c r="AZ453" s="10">
        <f t="shared" si="51"/>
        <v>0</v>
      </c>
      <c r="BA453" s="10">
        <f t="shared" si="51"/>
        <v>0</v>
      </c>
      <c r="BB453" s="10">
        <f t="shared" si="51"/>
        <v>0</v>
      </c>
      <c r="BC453" s="10">
        <f t="shared" si="51"/>
        <v>0</v>
      </c>
      <c r="BD453" s="10">
        <f t="shared" si="51"/>
        <v>0</v>
      </c>
      <c r="BE453" s="10">
        <f t="shared" si="51"/>
        <v>0</v>
      </c>
      <c r="BF453" s="10">
        <f t="shared" si="51"/>
        <v>0</v>
      </c>
      <c r="BG453" s="10">
        <f t="shared" si="51"/>
        <v>0</v>
      </c>
      <c r="BH453" s="10">
        <f t="shared" si="51"/>
        <v>0</v>
      </c>
      <c r="BI453" s="10">
        <f t="shared" si="51"/>
        <v>0</v>
      </c>
      <c r="BJ453" s="10">
        <f t="shared" si="51"/>
        <v>0</v>
      </c>
      <c r="BK453" s="10">
        <f t="shared" si="51"/>
        <v>0</v>
      </c>
      <c r="BL453" s="10">
        <f t="shared" si="51"/>
        <v>0</v>
      </c>
      <c r="BM453" s="10">
        <f t="shared" si="51"/>
        <v>0</v>
      </c>
      <c r="BN453" s="10">
        <f t="shared" si="51"/>
        <v>0</v>
      </c>
      <c r="BO453" s="10">
        <f t="shared" ref="BO453:BY453" si="52">BO94</f>
        <v>0</v>
      </c>
      <c r="BP453" s="10">
        <f t="shared" si="52"/>
        <v>0</v>
      </c>
      <c r="BQ453" s="10">
        <f t="shared" si="52"/>
        <v>0</v>
      </c>
      <c r="BR453" s="10">
        <f t="shared" si="52"/>
        <v>0</v>
      </c>
      <c r="BS453" s="10">
        <f t="shared" si="52"/>
        <v>0</v>
      </c>
      <c r="BT453" s="10">
        <f t="shared" si="52"/>
        <v>0</v>
      </c>
      <c r="BU453" s="10">
        <f t="shared" si="52"/>
        <v>0</v>
      </c>
      <c r="BV453" s="10">
        <f t="shared" si="52"/>
        <v>0</v>
      </c>
      <c r="BW453" s="10">
        <f t="shared" si="52"/>
        <v>0</v>
      </c>
      <c r="BX453" s="10">
        <f t="shared" si="52"/>
        <v>0</v>
      </c>
      <c r="BY453" s="10">
        <f t="shared" si="52"/>
        <v>0</v>
      </c>
    </row>
    <row r="454" spans="2:77">
      <c r="B454" s="53" t="s">
        <v>111</v>
      </c>
      <c r="C454" s="54">
        <f>C451*C438</f>
        <v>5505230.0715089999</v>
      </c>
      <c r="D454" s="54">
        <f t="shared" ref="D454:BO454" si="53">D451*D438</f>
        <v>5398186.4187449375</v>
      </c>
      <c r="E454" s="54">
        <f t="shared" si="53"/>
        <v>5279234.6965261651</v>
      </c>
      <c r="F454" s="54">
        <f t="shared" si="53"/>
        <v>5176479.6605787994</v>
      </c>
      <c r="G454" s="54">
        <f t="shared" si="53"/>
        <v>5062095.6077134348</v>
      </c>
      <c r="H454" s="54">
        <f t="shared" si="53"/>
        <v>4940717.3572145095</v>
      </c>
      <c r="I454" s="54">
        <f t="shared" si="53"/>
        <v>4970127.7701258771</v>
      </c>
      <c r="J454" s="54">
        <f t="shared" si="53"/>
        <v>4986911.6948347688</v>
      </c>
      <c r="K454" s="54">
        <f t="shared" si="53"/>
        <v>4984341.0890115062</v>
      </c>
      <c r="L454" s="54">
        <f t="shared" si="53"/>
        <v>4967731.7254728498</v>
      </c>
      <c r="M454" s="54">
        <f t="shared" si="53"/>
        <v>4930122.9815507587</v>
      </c>
      <c r="N454" s="54">
        <f t="shared" si="53"/>
        <v>4868723.8931849133</v>
      </c>
      <c r="O454" s="54">
        <f t="shared" si="53"/>
        <v>4786757.0101468358</v>
      </c>
      <c r="P454" s="54">
        <f t="shared" si="53"/>
        <v>4677261.7097684853</v>
      </c>
      <c r="Q454" s="54">
        <f t="shared" si="53"/>
        <v>4536749.2869744617</v>
      </c>
      <c r="R454" s="54">
        <f t="shared" si="53"/>
        <v>4364040.0525902072</v>
      </c>
      <c r="S454" s="54">
        <f t="shared" si="53"/>
        <v>3976374.1021518414</v>
      </c>
      <c r="T454" s="54">
        <f t="shared" si="53"/>
        <v>3575235.2795713549</v>
      </c>
      <c r="U454" s="54">
        <f t="shared" si="53"/>
        <v>3166155.1505211107</v>
      </c>
      <c r="V454" s="54">
        <f t="shared" si="53"/>
        <v>2743602.149328745</v>
      </c>
      <c r="W454" s="54">
        <f t="shared" si="53"/>
        <v>2310566.2454274208</v>
      </c>
      <c r="X454" s="54">
        <f t="shared" si="53"/>
        <v>1865436.1639313765</v>
      </c>
      <c r="Y454" s="54">
        <f t="shared" si="53"/>
        <v>1408211.9048406123</v>
      </c>
      <c r="Z454" s="54">
        <f t="shared" si="53"/>
        <v>939341.84134908975</v>
      </c>
      <c r="AA454" s="54">
        <f t="shared" si="53"/>
        <v>457912.43958612694</v>
      </c>
      <c r="AB454" s="54">
        <f t="shared" si="53"/>
        <v>-36093.08793103449</v>
      </c>
      <c r="AC454" s="54">
        <f t="shared" si="53"/>
        <v>-37536.811448275868</v>
      </c>
      <c r="AD454" s="54">
        <f t="shared" si="53"/>
        <v>-39030.897413793115</v>
      </c>
      <c r="AE454" s="54">
        <f t="shared" si="53"/>
        <v>-40592.133310344841</v>
      </c>
      <c r="AF454" s="54">
        <f t="shared" si="53"/>
        <v>-42220.519137931049</v>
      </c>
      <c r="AG454" s="54">
        <f t="shared" si="53"/>
        <v>-43916.054896551737</v>
      </c>
      <c r="AH454" s="54">
        <f t="shared" si="53"/>
        <v>-45661.953103448286</v>
      </c>
      <c r="AI454" s="54">
        <f t="shared" si="53"/>
        <v>-47491.788724137943</v>
      </c>
      <c r="AJ454" s="54">
        <f t="shared" si="53"/>
        <v>-49388.774275862081</v>
      </c>
      <c r="AK454" s="54">
        <f t="shared" si="53"/>
        <v>-51369.697241379326</v>
      </c>
      <c r="AL454" s="54">
        <f t="shared" si="53"/>
        <v>-53434.557620689666</v>
      </c>
      <c r="AM454" s="54">
        <f t="shared" si="53"/>
        <v>-55566.5679310345</v>
      </c>
      <c r="AN454" s="54">
        <f t="shared" si="53"/>
        <v>-57782.515655172429</v>
      </c>
      <c r="AO454" s="54">
        <f t="shared" si="53"/>
        <v>-60099.188275862085</v>
      </c>
      <c r="AP454" s="54">
        <f t="shared" si="53"/>
        <v>-61895.448931034502</v>
      </c>
      <c r="AQ454" s="54">
        <f t="shared" si="53"/>
        <v>-63758.859517241399</v>
      </c>
      <c r="AR454" s="54">
        <f t="shared" si="53"/>
        <v>-65672.632551724149</v>
      </c>
      <c r="AS454" s="54">
        <f t="shared" si="53"/>
        <v>-67636.768034482782</v>
      </c>
      <c r="AT454" s="54">
        <f t="shared" si="53"/>
        <v>-69668.053448275881</v>
      </c>
      <c r="AU454" s="54">
        <f t="shared" si="53"/>
        <v>-71766.488793103461</v>
      </c>
      <c r="AV454" s="54">
        <f t="shared" si="53"/>
        <v>-73915.286586206916</v>
      </c>
      <c r="AW454" s="54">
        <f t="shared" si="53"/>
        <v>-76131.234310344851</v>
      </c>
      <c r="AX454" s="54">
        <f t="shared" si="53"/>
        <v>-78414.331965517267</v>
      </c>
      <c r="AY454" s="54">
        <f t="shared" si="53"/>
        <v>-80764.579551724164</v>
      </c>
      <c r="AZ454" s="54">
        <f t="shared" si="53"/>
        <v>-83181.977068965542</v>
      </c>
      <c r="BA454" s="54">
        <f t="shared" si="53"/>
        <v>-85683.31200000002</v>
      </c>
      <c r="BB454" s="54">
        <f t="shared" si="53"/>
        <v>-88251.796862068994</v>
      </c>
      <c r="BC454" s="54">
        <f t="shared" si="53"/>
        <v>-90904.219137931053</v>
      </c>
      <c r="BD454" s="54">
        <f t="shared" si="53"/>
        <v>-93623.791344827609</v>
      </c>
      <c r="BE454" s="54">
        <f t="shared" si="53"/>
        <v>-96444.088448275885</v>
      </c>
      <c r="BF454" s="54">
        <f t="shared" si="53"/>
        <v>-99331.535482758642</v>
      </c>
      <c r="BG454" s="54">
        <f t="shared" si="53"/>
        <v>-102319.70741379313</v>
      </c>
      <c r="BH454" s="54">
        <f t="shared" si="53"/>
        <v>-105375.02927586209</v>
      </c>
      <c r="BI454" s="54">
        <f t="shared" si="53"/>
        <v>-108547.86351724141</v>
      </c>
      <c r="BJ454" s="54">
        <f t="shared" si="53"/>
        <v>-111804.63517241382</v>
      </c>
      <c r="BK454" s="54">
        <f t="shared" si="53"/>
        <v>-115145.34424137934</v>
      </c>
      <c r="BL454" s="54">
        <f t="shared" si="53"/>
        <v>-118603.56568965521</v>
      </c>
      <c r="BM454" s="54">
        <f t="shared" si="53"/>
        <v>-122162.51203448279</v>
      </c>
      <c r="BN454" s="54">
        <f t="shared" si="53"/>
        <v>-125838.97075862072</v>
      </c>
      <c r="BO454" s="54">
        <f t="shared" si="53"/>
        <v>-129599.36689655176</v>
      </c>
      <c r="BP454" s="54">
        <f t="shared" ref="BP454:BY454" si="54">BP451*BP438</f>
        <v>-133494.06289655177</v>
      </c>
      <c r="BQ454" s="54">
        <f t="shared" si="54"/>
        <v>-137506.27127586209</v>
      </c>
      <c r="BR454" s="54">
        <f t="shared" si="54"/>
        <v>-141619.20455172416</v>
      </c>
      <c r="BS454" s="54">
        <f t="shared" si="54"/>
        <v>-145866.4376896552</v>
      </c>
      <c r="BT454" s="54">
        <f t="shared" si="54"/>
        <v>-148787.45968965522</v>
      </c>
      <c r="BU454" s="54">
        <f t="shared" si="54"/>
        <v>-151758.84413793107</v>
      </c>
      <c r="BV454" s="54">
        <f t="shared" si="54"/>
        <v>-154797.37851724142</v>
      </c>
      <c r="BW454" s="54">
        <f t="shared" si="54"/>
        <v>-157903.06282758625</v>
      </c>
      <c r="BX454" s="54">
        <f t="shared" si="54"/>
        <v>-161059.10958620693</v>
      </c>
      <c r="BY454" s="54">
        <f t="shared" si="54"/>
        <v>-164282.30627586212</v>
      </c>
    </row>
    <row r="455" spans="2:77">
      <c r="B455" s="53" t="s">
        <v>148</v>
      </c>
      <c r="C455" s="54">
        <f>C453*C438</f>
        <v>5529597.5445090001</v>
      </c>
      <c r="D455" s="54">
        <f t="shared" ref="D455:BO455" si="55">D453*D438</f>
        <v>5414470.2770207999</v>
      </c>
      <c r="E455" s="54">
        <f t="shared" si="55"/>
        <v>5295854.3044571998</v>
      </c>
      <c r="F455" s="54">
        <f t="shared" si="55"/>
        <v>5193518.9555788003</v>
      </c>
      <c r="G455" s="54">
        <f t="shared" si="55"/>
        <v>5079554.5897824001</v>
      </c>
      <c r="H455" s="54">
        <f t="shared" si="55"/>
        <v>4958612.8138351999</v>
      </c>
      <c r="I455" s="54">
        <f t="shared" si="55"/>
        <v>4989080.8381603602</v>
      </c>
      <c r="J455" s="54">
        <f t="shared" si="55"/>
        <v>5006989.5242140796</v>
      </c>
      <c r="K455" s="54">
        <f t="shared" si="55"/>
        <v>5005594.0421839198</v>
      </c>
      <c r="L455" s="54">
        <f t="shared" si="55"/>
        <v>4990243.7398521602</v>
      </c>
      <c r="M455" s="54">
        <f t="shared" si="55"/>
        <v>4953961.207068</v>
      </c>
      <c r="N455" s="54">
        <f t="shared" si="55"/>
        <v>4893955.4797711205</v>
      </c>
      <c r="O455" s="54">
        <f t="shared" si="55"/>
        <v>4813482.6826985599</v>
      </c>
      <c r="P455" s="54">
        <f t="shared" si="55"/>
        <v>4705565.4056995204</v>
      </c>
      <c r="Q455" s="54">
        <f t="shared" si="55"/>
        <v>4566714.9436985999</v>
      </c>
      <c r="R455" s="54">
        <f t="shared" si="55"/>
        <v>4395768.3950039996</v>
      </c>
      <c r="S455" s="54">
        <f t="shared" si="55"/>
        <v>4008522.1316346</v>
      </c>
      <c r="T455" s="54">
        <f t="shared" si="55"/>
        <v>3607786.2086403202</v>
      </c>
      <c r="U455" s="54">
        <f t="shared" si="55"/>
        <v>3199142.5541417999</v>
      </c>
      <c r="V455" s="54">
        <f t="shared" si="55"/>
        <v>2777009.2400183999</v>
      </c>
      <c r="W455" s="54">
        <f t="shared" si="55"/>
        <v>2344409.8106688</v>
      </c>
      <c r="X455" s="54">
        <f t="shared" si="55"/>
        <v>1899716.20372448</v>
      </c>
      <c r="Y455" s="54">
        <f t="shared" si="55"/>
        <v>1442928.4191854401</v>
      </c>
      <c r="Z455" s="54">
        <f t="shared" si="55"/>
        <v>974511.61772840004</v>
      </c>
      <c r="AA455" s="54">
        <f t="shared" si="55"/>
        <v>493535.47799992003</v>
      </c>
      <c r="AB455" s="54">
        <f t="shared" si="55"/>
        <v>0</v>
      </c>
      <c r="AC455" s="54">
        <f t="shared" si="55"/>
        <v>0</v>
      </c>
      <c r="AD455" s="54">
        <f t="shared" si="55"/>
        <v>0</v>
      </c>
      <c r="AE455" s="54">
        <f t="shared" si="55"/>
        <v>0</v>
      </c>
      <c r="AF455" s="54">
        <f t="shared" si="55"/>
        <v>0</v>
      </c>
      <c r="AG455" s="54">
        <f t="shared" si="55"/>
        <v>0</v>
      </c>
      <c r="AH455" s="54">
        <f t="shared" si="55"/>
        <v>0</v>
      </c>
      <c r="AI455" s="54">
        <f t="shared" si="55"/>
        <v>0</v>
      </c>
      <c r="AJ455" s="54">
        <f t="shared" si="55"/>
        <v>0</v>
      </c>
      <c r="AK455" s="54">
        <f t="shared" si="55"/>
        <v>0</v>
      </c>
      <c r="AL455" s="54">
        <f t="shared" si="55"/>
        <v>0</v>
      </c>
      <c r="AM455" s="54">
        <f t="shared" si="55"/>
        <v>0</v>
      </c>
      <c r="AN455" s="54">
        <f t="shared" si="55"/>
        <v>0</v>
      </c>
      <c r="AO455" s="54">
        <f t="shared" si="55"/>
        <v>0</v>
      </c>
      <c r="AP455" s="54">
        <f t="shared" si="55"/>
        <v>0</v>
      </c>
      <c r="AQ455" s="54">
        <f t="shared" si="55"/>
        <v>0</v>
      </c>
      <c r="AR455" s="54">
        <f t="shared" si="55"/>
        <v>0</v>
      </c>
      <c r="AS455" s="54">
        <f t="shared" si="55"/>
        <v>0</v>
      </c>
      <c r="AT455" s="54">
        <f t="shared" si="55"/>
        <v>0</v>
      </c>
      <c r="AU455" s="54">
        <f t="shared" si="55"/>
        <v>0</v>
      </c>
      <c r="AV455" s="54">
        <f t="shared" si="55"/>
        <v>0</v>
      </c>
      <c r="AW455" s="54">
        <f t="shared" si="55"/>
        <v>0</v>
      </c>
      <c r="AX455" s="54">
        <f t="shared" si="55"/>
        <v>0</v>
      </c>
      <c r="AY455" s="54">
        <f t="shared" si="55"/>
        <v>0</v>
      </c>
      <c r="AZ455" s="54">
        <f t="shared" si="55"/>
        <v>0</v>
      </c>
      <c r="BA455" s="54">
        <f t="shared" si="55"/>
        <v>0</v>
      </c>
      <c r="BB455" s="54">
        <f t="shared" si="55"/>
        <v>0</v>
      </c>
      <c r="BC455" s="54">
        <f t="shared" si="55"/>
        <v>0</v>
      </c>
      <c r="BD455" s="54">
        <f t="shared" si="55"/>
        <v>0</v>
      </c>
      <c r="BE455" s="54">
        <f t="shared" si="55"/>
        <v>0</v>
      </c>
      <c r="BF455" s="54">
        <f t="shared" si="55"/>
        <v>0</v>
      </c>
      <c r="BG455" s="54">
        <f t="shared" si="55"/>
        <v>0</v>
      </c>
      <c r="BH455" s="54">
        <f t="shared" si="55"/>
        <v>0</v>
      </c>
      <c r="BI455" s="54">
        <f t="shared" si="55"/>
        <v>0</v>
      </c>
      <c r="BJ455" s="54">
        <f t="shared" si="55"/>
        <v>0</v>
      </c>
      <c r="BK455" s="54">
        <f t="shared" si="55"/>
        <v>0</v>
      </c>
      <c r="BL455" s="54">
        <f t="shared" si="55"/>
        <v>0</v>
      </c>
      <c r="BM455" s="54">
        <f t="shared" si="55"/>
        <v>0</v>
      </c>
      <c r="BN455" s="54">
        <f t="shared" si="55"/>
        <v>0</v>
      </c>
      <c r="BO455" s="54">
        <f t="shared" si="55"/>
        <v>0</v>
      </c>
      <c r="BP455" s="54">
        <f t="shared" ref="BP455:BY455" si="56">BP453*BP438</f>
        <v>0</v>
      </c>
      <c r="BQ455" s="54">
        <f t="shared" si="56"/>
        <v>0</v>
      </c>
      <c r="BR455" s="54">
        <f t="shared" si="56"/>
        <v>0</v>
      </c>
      <c r="BS455" s="54">
        <f t="shared" si="56"/>
        <v>0</v>
      </c>
      <c r="BT455" s="54">
        <f t="shared" si="56"/>
        <v>0</v>
      </c>
      <c r="BU455" s="54">
        <f t="shared" si="56"/>
        <v>0</v>
      </c>
      <c r="BV455" s="54">
        <f t="shared" si="56"/>
        <v>0</v>
      </c>
      <c r="BW455" s="54">
        <f t="shared" si="56"/>
        <v>0</v>
      </c>
      <c r="BX455" s="54">
        <f t="shared" si="56"/>
        <v>0</v>
      </c>
      <c r="BY455" s="54">
        <f t="shared" si="56"/>
        <v>0</v>
      </c>
    </row>
    <row r="457" spans="2:77" s="41" customFormat="1">
      <c r="B457" s="51" t="s">
        <v>260</v>
      </c>
      <c r="C457" s="52">
        <f>C458+C459</f>
        <v>471.75020000000006</v>
      </c>
      <c r="D457" s="52">
        <f t="shared" ref="D457:BO457" si="57">D458+D459</f>
        <v>182.00630000000001</v>
      </c>
      <c r="E457" s="52">
        <f t="shared" si="57"/>
        <v>182.00630000000001</v>
      </c>
      <c r="F457" s="52">
        <f t="shared" si="57"/>
        <v>182.00630000000001</v>
      </c>
      <c r="G457" s="52">
        <f t="shared" si="57"/>
        <v>182.00630000000001</v>
      </c>
      <c r="H457" s="52">
        <f t="shared" si="57"/>
        <v>182.00630000000001</v>
      </c>
      <c r="I457" s="52">
        <f t="shared" si="57"/>
        <v>182.00630000000001</v>
      </c>
      <c r="J457" s="52">
        <f t="shared" si="57"/>
        <v>182.00630000000001</v>
      </c>
      <c r="K457" s="52">
        <f t="shared" si="57"/>
        <v>182.00630000000001</v>
      </c>
      <c r="L457" s="52">
        <f t="shared" si="57"/>
        <v>182.00630000000001</v>
      </c>
      <c r="M457" s="52">
        <f t="shared" si="57"/>
        <v>182.00630000000001</v>
      </c>
      <c r="N457" s="52">
        <f t="shared" si="57"/>
        <v>182.00630000000001</v>
      </c>
      <c r="O457" s="52">
        <f t="shared" si="57"/>
        <v>182.00630000000001</v>
      </c>
      <c r="P457" s="52">
        <f t="shared" si="57"/>
        <v>182.00630000000001</v>
      </c>
      <c r="Q457" s="52">
        <f t="shared" si="57"/>
        <v>182.00630000000001</v>
      </c>
      <c r="R457" s="52">
        <f t="shared" si="57"/>
        <v>182.00630000000001</v>
      </c>
      <c r="S457" s="52">
        <f t="shared" si="57"/>
        <v>182.00630000000001</v>
      </c>
      <c r="T457" s="52">
        <f t="shared" si="57"/>
        <v>182.00630000000001</v>
      </c>
      <c r="U457" s="52">
        <f t="shared" si="57"/>
        <v>182.00630000000001</v>
      </c>
      <c r="V457" s="52">
        <f t="shared" si="57"/>
        <v>182.00630000000001</v>
      </c>
      <c r="W457" s="52">
        <f t="shared" si="57"/>
        <v>142.1267</v>
      </c>
      <c r="X457" s="52">
        <f t="shared" si="57"/>
        <v>142.1267</v>
      </c>
      <c r="Y457" s="52">
        <f t="shared" si="57"/>
        <v>142.1267</v>
      </c>
      <c r="Z457" s="52">
        <f t="shared" si="57"/>
        <v>142.1267</v>
      </c>
      <c r="AA457" s="52">
        <f t="shared" si="57"/>
        <v>142.1267</v>
      </c>
      <c r="AB457" s="52">
        <f t="shared" si="57"/>
        <v>-3.422800000000001</v>
      </c>
      <c r="AC457" s="52">
        <f t="shared" si="57"/>
        <v>-3.422800000000001</v>
      </c>
      <c r="AD457" s="52">
        <f t="shared" si="57"/>
        <v>-3.422800000000001</v>
      </c>
      <c r="AE457" s="52">
        <f t="shared" si="57"/>
        <v>-3.422800000000001</v>
      </c>
      <c r="AF457" s="52">
        <f t="shared" si="57"/>
        <v>-3.422800000000001</v>
      </c>
      <c r="AG457" s="52">
        <f t="shared" si="57"/>
        <v>-3.4228000000000001</v>
      </c>
      <c r="AH457" s="52">
        <f t="shared" si="57"/>
        <v>-3.4228000000000001</v>
      </c>
      <c r="AI457" s="52">
        <f t="shared" si="57"/>
        <v>-3.4228000000000001</v>
      </c>
      <c r="AJ457" s="52">
        <f t="shared" si="57"/>
        <v>-3.4228000000000001</v>
      </c>
      <c r="AK457" s="52">
        <f t="shared" si="57"/>
        <v>-3.4228000000000001</v>
      </c>
      <c r="AL457" s="52">
        <f t="shared" si="57"/>
        <v>-3.4228000000000001</v>
      </c>
      <c r="AM457" s="52">
        <f t="shared" si="57"/>
        <v>-3.4228000000000001</v>
      </c>
      <c r="AN457" s="52">
        <f t="shared" si="57"/>
        <v>-3.4228000000000001</v>
      </c>
      <c r="AO457" s="52">
        <f t="shared" si="57"/>
        <v>-3.4228000000000001</v>
      </c>
      <c r="AP457" s="52">
        <f t="shared" si="57"/>
        <v>-3.4228000000000001</v>
      </c>
      <c r="AQ457" s="52">
        <f t="shared" si="57"/>
        <v>-3.4228000000000001</v>
      </c>
      <c r="AR457" s="52">
        <f t="shared" si="57"/>
        <v>-3.4228000000000001</v>
      </c>
      <c r="AS457" s="52">
        <f t="shared" si="57"/>
        <v>-3.4228000000000001</v>
      </c>
      <c r="AT457" s="52">
        <f t="shared" si="57"/>
        <v>-3.4228000000000001</v>
      </c>
      <c r="AU457" s="52">
        <f t="shared" si="57"/>
        <v>-3.4228000000000001</v>
      </c>
      <c r="AV457" s="52">
        <f t="shared" si="57"/>
        <v>-3.4228000000000001</v>
      </c>
      <c r="AW457" s="52">
        <f t="shared" si="57"/>
        <v>-3.4228000000000001</v>
      </c>
      <c r="AX457" s="52">
        <f t="shared" si="57"/>
        <v>-3.4228000000000001</v>
      </c>
      <c r="AY457" s="52">
        <f t="shared" si="57"/>
        <v>-3.4228000000000001</v>
      </c>
      <c r="AZ457" s="52">
        <f t="shared" si="57"/>
        <v>-3.4228000000000001</v>
      </c>
      <c r="BA457" s="52">
        <f t="shared" si="57"/>
        <v>-3.4228000000000001</v>
      </c>
      <c r="BB457" s="52">
        <f t="shared" si="57"/>
        <v>-3.4228000000000001</v>
      </c>
      <c r="BC457" s="52">
        <f t="shared" si="57"/>
        <v>-3.4228000000000001</v>
      </c>
      <c r="BD457" s="52">
        <f t="shared" si="57"/>
        <v>-3.4228000000000001</v>
      </c>
      <c r="BE457" s="52">
        <f t="shared" si="57"/>
        <v>-3.4228000000000001</v>
      </c>
      <c r="BF457" s="52">
        <f t="shared" si="57"/>
        <v>-3.4228000000000001</v>
      </c>
      <c r="BG457" s="52">
        <f t="shared" si="57"/>
        <v>-3.4228000000000001</v>
      </c>
      <c r="BH457" s="52">
        <f t="shared" si="57"/>
        <v>-3.4228000000000001</v>
      </c>
      <c r="BI457" s="52">
        <f t="shared" si="57"/>
        <v>-3.4228000000000001</v>
      </c>
      <c r="BJ457" s="52">
        <f t="shared" si="57"/>
        <v>-3.4228000000000001</v>
      </c>
      <c r="BK457" s="52">
        <f t="shared" si="57"/>
        <v>-3.4228000000000001</v>
      </c>
      <c r="BL457" s="52">
        <f t="shared" si="57"/>
        <v>-3.4228000000000001</v>
      </c>
      <c r="BM457" s="52">
        <f t="shared" si="57"/>
        <v>-3.4228000000000001</v>
      </c>
      <c r="BN457" s="52">
        <f t="shared" si="57"/>
        <v>-3.4228000000000001</v>
      </c>
      <c r="BO457" s="52">
        <f t="shared" si="57"/>
        <v>-3.4228000000000001</v>
      </c>
      <c r="BP457" s="52">
        <f t="shared" ref="BP457:BY457" si="58">BP458+BP459</f>
        <v>-3.4228000000000001</v>
      </c>
      <c r="BQ457" s="52">
        <f t="shared" si="58"/>
        <v>-3.4228000000000001</v>
      </c>
      <c r="BR457" s="52">
        <f t="shared" si="58"/>
        <v>-3.4228000000000001</v>
      </c>
      <c r="BS457" s="52">
        <f t="shared" si="58"/>
        <v>-3.4228000000000001</v>
      </c>
      <c r="BT457" s="52">
        <f t="shared" si="58"/>
        <v>-3.4228000000000001</v>
      </c>
      <c r="BU457" s="52">
        <f t="shared" si="58"/>
        <v>-3.4228000000000001</v>
      </c>
      <c r="BV457" s="52">
        <f t="shared" si="58"/>
        <v>-3.4228000000000001</v>
      </c>
      <c r="BW457" s="52">
        <f t="shared" si="58"/>
        <v>-3.4228000000000001</v>
      </c>
      <c r="BX457" s="52">
        <f t="shared" si="58"/>
        <v>-3.4228000000000001</v>
      </c>
      <c r="BY457" s="52">
        <f t="shared" si="58"/>
        <v>-3.4228000000000001</v>
      </c>
    </row>
    <row r="458" spans="2:77">
      <c r="B458" s="3" t="s">
        <v>257</v>
      </c>
      <c r="C458" s="10">
        <f>C156</f>
        <v>326.20070000000004</v>
      </c>
      <c r="D458" s="56">
        <f>D157/19</f>
        <v>36.456800000000001</v>
      </c>
      <c r="E458" s="56">
        <f>D458</f>
        <v>36.456800000000001</v>
      </c>
      <c r="F458" s="56">
        <f t="shared" ref="F458:V458" si="59">E458</f>
        <v>36.456800000000001</v>
      </c>
      <c r="G458" s="56">
        <f t="shared" si="59"/>
        <v>36.456800000000001</v>
      </c>
      <c r="H458" s="56">
        <f t="shared" si="59"/>
        <v>36.456800000000001</v>
      </c>
      <c r="I458" s="56">
        <f t="shared" si="59"/>
        <v>36.456800000000001</v>
      </c>
      <c r="J458" s="56">
        <f t="shared" si="59"/>
        <v>36.456800000000001</v>
      </c>
      <c r="K458" s="56">
        <f t="shared" si="59"/>
        <v>36.456800000000001</v>
      </c>
      <c r="L458" s="56">
        <f t="shared" si="59"/>
        <v>36.456800000000001</v>
      </c>
      <c r="M458" s="56">
        <f t="shared" si="59"/>
        <v>36.456800000000001</v>
      </c>
      <c r="N458" s="56">
        <f t="shared" si="59"/>
        <v>36.456800000000001</v>
      </c>
      <c r="O458" s="56">
        <f t="shared" si="59"/>
        <v>36.456800000000001</v>
      </c>
      <c r="P458" s="56">
        <f t="shared" si="59"/>
        <v>36.456800000000001</v>
      </c>
      <c r="Q458" s="56">
        <f t="shared" si="59"/>
        <v>36.456800000000001</v>
      </c>
      <c r="R458" s="56">
        <f t="shared" si="59"/>
        <v>36.456800000000001</v>
      </c>
      <c r="S458" s="56">
        <f t="shared" si="59"/>
        <v>36.456800000000001</v>
      </c>
      <c r="T458" s="56">
        <f t="shared" si="59"/>
        <v>36.456800000000001</v>
      </c>
      <c r="U458" s="56">
        <f t="shared" si="59"/>
        <v>36.456800000000001</v>
      </c>
      <c r="V458" s="56">
        <f t="shared" si="59"/>
        <v>36.456800000000001</v>
      </c>
      <c r="W458" s="57">
        <f>E158/10</f>
        <v>-3.422800000000001</v>
      </c>
      <c r="X458" s="57">
        <f>W458</f>
        <v>-3.422800000000001</v>
      </c>
      <c r="Y458" s="57">
        <f t="shared" ref="Y458:AE458" si="60">X458</f>
        <v>-3.422800000000001</v>
      </c>
      <c r="Z458" s="57">
        <f t="shared" si="60"/>
        <v>-3.422800000000001</v>
      </c>
      <c r="AA458" s="57">
        <f t="shared" si="60"/>
        <v>-3.422800000000001</v>
      </c>
      <c r="AB458" s="57">
        <f t="shared" si="60"/>
        <v>-3.422800000000001</v>
      </c>
      <c r="AC458" s="57">
        <f t="shared" si="60"/>
        <v>-3.422800000000001</v>
      </c>
      <c r="AD458" s="57">
        <f t="shared" si="60"/>
        <v>-3.422800000000001</v>
      </c>
      <c r="AE458" s="57">
        <f t="shared" si="60"/>
        <v>-3.422800000000001</v>
      </c>
      <c r="AF458" s="57">
        <f>AE458</f>
        <v>-3.422800000000001</v>
      </c>
      <c r="AG458" s="10">
        <f>F159/45</f>
        <v>-3.4228000000000001</v>
      </c>
      <c r="AH458" s="10">
        <f t="shared" ref="AH458:BY458" si="61">AG458</f>
        <v>-3.4228000000000001</v>
      </c>
      <c r="AI458" s="10">
        <f t="shared" si="61"/>
        <v>-3.4228000000000001</v>
      </c>
      <c r="AJ458" s="10">
        <f t="shared" si="61"/>
        <v>-3.4228000000000001</v>
      </c>
      <c r="AK458" s="10">
        <f t="shared" si="61"/>
        <v>-3.4228000000000001</v>
      </c>
      <c r="AL458" s="10">
        <f t="shared" si="61"/>
        <v>-3.4228000000000001</v>
      </c>
      <c r="AM458" s="10">
        <f t="shared" si="61"/>
        <v>-3.4228000000000001</v>
      </c>
      <c r="AN458" s="10">
        <f t="shared" si="61"/>
        <v>-3.4228000000000001</v>
      </c>
      <c r="AO458" s="10">
        <f t="shared" si="61"/>
        <v>-3.4228000000000001</v>
      </c>
      <c r="AP458" s="10">
        <f t="shared" si="61"/>
        <v>-3.4228000000000001</v>
      </c>
      <c r="AQ458" s="10">
        <f t="shared" si="61"/>
        <v>-3.4228000000000001</v>
      </c>
      <c r="AR458" s="10">
        <f t="shared" si="61"/>
        <v>-3.4228000000000001</v>
      </c>
      <c r="AS458" s="10">
        <f t="shared" si="61"/>
        <v>-3.4228000000000001</v>
      </c>
      <c r="AT458" s="10">
        <f t="shared" si="61"/>
        <v>-3.4228000000000001</v>
      </c>
      <c r="AU458" s="10">
        <f t="shared" si="61"/>
        <v>-3.4228000000000001</v>
      </c>
      <c r="AV458" s="10">
        <f t="shared" si="61"/>
        <v>-3.4228000000000001</v>
      </c>
      <c r="AW458" s="10">
        <f t="shared" si="61"/>
        <v>-3.4228000000000001</v>
      </c>
      <c r="AX458" s="10">
        <f t="shared" si="61"/>
        <v>-3.4228000000000001</v>
      </c>
      <c r="AY458" s="10">
        <f t="shared" si="61"/>
        <v>-3.4228000000000001</v>
      </c>
      <c r="AZ458" s="10">
        <f t="shared" si="61"/>
        <v>-3.4228000000000001</v>
      </c>
      <c r="BA458" s="10">
        <f t="shared" si="61"/>
        <v>-3.4228000000000001</v>
      </c>
      <c r="BB458" s="10">
        <f t="shared" si="61"/>
        <v>-3.4228000000000001</v>
      </c>
      <c r="BC458" s="10">
        <f t="shared" si="61"/>
        <v>-3.4228000000000001</v>
      </c>
      <c r="BD458" s="10">
        <f t="shared" si="61"/>
        <v>-3.4228000000000001</v>
      </c>
      <c r="BE458" s="10">
        <f t="shared" si="61"/>
        <v>-3.4228000000000001</v>
      </c>
      <c r="BF458" s="10">
        <f t="shared" si="61"/>
        <v>-3.4228000000000001</v>
      </c>
      <c r="BG458" s="10">
        <f t="shared" si="61"/>
        <v>-3.4228000000000001</v>
      </c>
      <c r="BH458" s="10">
        <f t="shared" si="61"/>
        <v>-3.4228000000000001</v>
      </c>
      <c r="BI458" s="10">
        <f t="shared" si="61"/>
        <v>-3.4228000000000001</v>
      </c>
      <c r="BJ458" s="10">
        <f t="shared" si="61"/>
        <v>-3.4228000000000001</v>
      </c>
      <c r="BK458" s="10">
        <f t="shared" si="61"/>
        <v>-3.4228000000000001</v>
      </c>
      <c r="BL458" s="10">
        <f t="shared" si="61"/>
        <v>-3.4228000000000001</v>
      </c>
      <c r="BM458" s="10">
        <f t="shared" si="61"/>
        <v>-3.4228000000000001</v>
      </c>
      <c r="BN458" s="10">
        <f t="shared" si="61"/>
        <v>-3.4228000000000001</v>
      </c>
      <c r="BO458" s="10">
        <f t="shared" si="61"/>
        <v>-3.4228000000000001</v>
      </c>
      <c r="BP458" s="10">
        <f t="shared" si="61"/>
        <v>-3.4228000000000001</v>
      </c>
      <c r="BQ458" s="10">
        <f t="shared" si="61"/>
        <v>-3.4228000000000001</v>
      </c>
      <c r="BR458" s="10">
        <f t="shared" si="61"/>
        <v>-3.4228000000000001</v>
      </c>
      <c r="BS458" s="10">
        <f t="shared" si="61"/>
        <v>-3.4228000000000001</v>
      </c>
      <c r="BT458" s="10">
        <f t="shared" si="61"/>
        <v>-3.4228000000000001</v>
      </c>
      <c r="BU458" s="10">
        <f t="shared" si="61"/>
        <v>-3.4228000000000001</v>
      </c>
      <c r="BV458" s="10">
        <f t="shared" si="61"/>
        <v>-3.4228000000000001</v>
      </c>
      <c r="BW458" s="10">
        <f t="shared" si="61"/>
        <v>-3.4228000000000001</v>
      </c>
      <c r="BX458" s="10">
        <f t="shared" si="61"/>
        <v>-3.4228000000000001</v>
      </c>
      <c r="BY458" s="10">
        <f t="shared" si="61"/>
        <v>-3.4228000000000001</v>
      </c>
    </row>
    <row r="459" spans="2:77">
      <c r="B459" s="3" t="s">
        <v>102</v>
      </c>
      <c r="C459" s="10">
        <f>C447</f>
        <v>145.54949999999999</v>
      </c>
      <c r="D459" s="10">
        <f t="shared" ref="D459:BO459" si="62">D447</f>
        <v>145.54949999999999</v>
      </c>
      <c r="E459" s="10">
        <f t="shared" si="62"/>
        <v>145.54949999999999</v>
      </c>
      <c r="F459" s="10">
        <f t="shared" si="62"/>
        <v>145.54949999999999</v>
      </c>
      <c r="G459" s="10">
        <f t="shared" si="62"/>
        <v>145.54949999999999</v>
      </c>
      <c r="H459" s="10">
        <f t="shared" si="62"/>
        <v>145.54949999999999</v>
      </c>
      <c r="I459" s="10">
        <f t="shared" si="62"/>
        <v>145.54949999999999</v>
      </c>
      <c r="J459" s="10">
        <f t="shared" si="62"/>
        <v>145.54949999999999</v>
      </c>
      <c r="K459" s="10">
        <f t="shared" si="62"/>
        <v>145.54949999999999</v>
      </c>
      <c r="L459" s="10">
        <f t="shared" si="62"/>
        <v>145.54949999999999</v>
      </c>
      <c r="M459" s="10">
        <f t="shared" si="62"/>
        <v>145.54949999999999</v>
      </c>
      <c r="N459" s="10">
        <f t="shared" si="62"/>
        <v>145.54949999999999</v>
      </c>
      <c r="O459" s="10">
        <f t="shared" si="62"/>
        <v>145.54949999999999</v>
      </c>
      <c r="P459" s="10">
        <f t="shared" si="62"/>
        <v>145.54949999999999</v>
      </c>
      <c r="Q459" s="10">
        <f t="shared" si="62"/>
        <v>145.54949999999999</v>
      </c>
      <c r="R459" s="10">
        <f t="shared" si="62"/>
        <v>145.54949999999999</v>
      </c>
      <c r="S459" s="10">
        <f t="shared" si="62"/>
        <v>145.54949999999999</v>
      </c>
      <c r="T459" s="10">
        <f t="shared" si="62"/>
        <v>145.54949999999999</v>
      </c>
      <c r="U459" s="10">
        <f t="shared" si="62"/>
        <v>145.54949999999999</v>
      </c>
      <c r="V459" s="10">
        <f t="shared" si="62"/>
        <v>145.54949999999999</v>
      </c>
      <c r="W459" s="10">
        <f t="shared" si="62"/>
        <v>145.54949999999999</v>
      </c>
      <c r="X459" s="10">
        <f t="shared" si="62"/>
        <v>145.54949999999999</v>
      </c>
      <c r="Y459" s="10">
        <f t="shared" si="62"/>
        <v>145.54949999999999</v>
      </c>
      <c r="Z459" s="10">
        <f t="shared" si="62"/>
        <v>145.54949999999999</v>
      </c>
      <c r="AA459" s="10">
        <f t="shared" si="62"/>
        <v>145.54949999999999</v>
      </c>
      <c r="AB459" s="10">
        <f t="shared" si="62"/>
        <v>0</v>
      </c>
      <c r="AC459" s="10">
        <f t="shared" si="62"/>
        <v>0</v>
      </c>
      <c r="AD459" s="10">
        <f t="shared" si="62"/>
        <v>0</v>
      </c>
      <c r="AE459" s="10">
        <f t="shared" si="62"/>
        <v>0</v>
      </c>
      <c r="AF459" s="10">
        <f t="shared" si="62"/>
        <v>0</v>
      </c>
      <c r="AG459" s="10">
        <f t="shared" si="62"/>
        <v>0</v>
      </c>
      <c r="AH459" s="10">
        <f t="shared" si="62"/>
        <v>0</v>
      </c>
      <c r="AI459" s="10">
        <f t="shared" si="62"/>
        <v>0</v>
      </c>
      <c r="AJ459" s="10">
        <f t="shared" si="62"/>
        <v>0</v>
      </c>
      <c r="AK459" s="10">
        <f t="shared" si="62"/>
        <v>0</v>
      </c>
      <c r="AL459" s="10">
        <f t="shared" si="62"/>
        <v>0</v>
      </c>
      <c r="AM459" s="10">
        <f t="shared" si="62"/>
        <v>0</v>
      </c>
      <c r="AN459" s="10">
        <f t="shared" si="62"/>
        <v>0</v>
      </c>
      <c r="AO459" s="10">
        <f t="shared" si="62"/>
        <v>0</v>
      </c>
      <c r="AP459" s="10">
        <f t="shared" si="62"/>
        <v>0</v>
      </c>
      <c r="AQ459" s="10">
        <f t="shared" si="62"/>
        <v>0</v>
      </c>
      <c r="AR459" s="10">
        <f t="shared" si="62"/>
        <v>0</v>
      </c>
      <c r="AS459" s="10">
        <f t="shared" si="62"/>
        <v>0</v>
      </c>
      <c r="AT459" s="10">
        <f t="shared" si="62"/>
        <v>0</v>
      </c>
      <c r="AU459" s="10">
        <f t="shared" si="62"/>
        <v>0</v>
      </c>
      <c r="AV459" s="10">
        <f t="shared" si="62"/>
        <v>0</v>
      </c>
      <c r="AW459" s="10">
        <f t="shared" si="62"/>
        <v>0</v>
      </c>
      <c r="AX459" s="10">
        <f t="shared" si="62"/>
        <v>0</v>
      </c>
      <c r="AY459" s="10">
        <f t="shared" si="62"/>
        <v>0</v>
      </c>
      <c r="AZ459" s="10">
        <f t="shared" si="62"/>
        <v>0</v>
      </c>
      <c r="BA459" s="10">
        <f t="shared" si="62"/>
        <v>0</v>
      </c>
      <c r="BB459" s="10">
        <f t="shared" si="62"/>
        <v>0</v>
      </c>
      <c r="BC459" s="10">
        <f t="shared" si="62"/>
        <v>0</v>
      </c>
      <c r="BD459" s="10">
        <f t="shared" si="62"/>
        <v>0</v>
      </c>
      <c r="BE459" s="10">
        <f t="shared" si="62"/>
        <v>0</v>
      </c>
      <c r="BF459" s="10">
        <f t="shared" si="62"/>
        <v>0</v>
      </c>
      <c r="BG459" s="10">
        <f t="shared" si="62"/>
        <v>0</v>
      </c>
      <c r="BH459" s="10">
        <f t="shared" si="62"/>
        <v>0</v>
      </c>
      <c r="BI459" s="10">
        <f t="shared" si="62"/>
        <v>0</v>
      </c>
      <c r="BJ459" s="10">
        <f t="shared" si="62"/>
        <v>0</v>
      </c>
      <c r="BK459" s="10">
        <f t="shared" si="62"/>
        <v>0</v>
      </c>
      <c r="BL459" s="10">
        <f t="shared" si="62"/>
        <v>0</v>
      </c>
      <c r="BM459" s="10">
        <f t="shared" si="62"/>
        <v>0</v>
      </c>
      <c r="BN459" s="10">
        <f t="shared" si="62"/>
        <v>0</v>
      </c>
      <c r="BO459" s="10">
        <f t="shared" si="62"/>
        <v>0</v>
      </c>
      <c r="BP459" s="10">
        <f t="shared" ref="BP459:BY459" si="63">BP447</f>
        <v>0</v>
      </c>
      <c r="BQ459" s="10">
        <f t="shared" si="63"/>
        <v>0</v>
      </c>
      <c r="BR459" s="10">
        <f t="shared" si="63"/>
        <v>0</v>
      </c>
      <c r="BS459" s="10">
        <f t="shared" si="63"/>
        <v>0</v>
      </c>
      <c r="BT459" s="10">
        <f t="shared" si="63"/>
        <v>0</v>
      </c>
      <c r="BU459" s="10">
        <f t="shared" si="63"/>
        <v>0</v>
      </c>
      <c r="BV459" s="10">
        <f t="shared" si="63"/>
        <v>0</v>
      </c>
      <c r="BW459" s="10">
        <f t="shared" si="63"/>
        <v>0</v>
      </c>
      <c r="BX459" s="10">
        <f t="shared" si="63"/>
        <v>0</v>
      </c>
      <c r="BY459" s="10">
        <f t="shared" si="63"/>
        <v>0</v>
      </c>
    </row>
    <row r="460" spans="2:77">
      <c r="B460" s="53" t="s">
        <v>111</v>
      </c>
      <c r="C460" s="54">
        <f t="shared" ref="C460:BN460" si="64">C457*C438</f>
        <v>448634.44020000007</v>
      </c>
      <c r="D460" s="54">
        <f t="shared" si="64"/>
        <v>176546.111</v>
      </c>
      <c r="E460" s="54">
        <f t="shared" si="64"/>
        <v>180186.23700000002</v>
      </c>
      <c r="F460" s="54">
        <f t="shared" si="64"/>
        <v>184736.39450000002</v>
      </c>
      <c r="G460" s="54">
        <f t="shared" si="64"/>
        <v>189286.55200000003</v>
      </c>
      <c r="H460" s="54">
        <f t="shared" si="64"/>
        <v>194018.71580000001</v>
      </c>
      <c r="I460" s="54">
        <f t="shared" si="64"/>
        <v>205485.1127</v>
      </c>
      <c r="J460" s="54">
        <f t="shared" si="64"/>
        <v>217679.53480000002</v>
      </c>
      <c r="K460" s="54">
        <f t="shared" si="64"/>
        <v>230419.97580000001</v>
      </c>
      <c r="L460" s="54">
        <f t="shared" si="64"/>
        <v>244070.44830000002</v>
      </c>
      <c r="M460" s="54">
        <f t="shared" si="64"/>
        <v>258448.94600000003</v>
      </c>
      <c r="N460" s="54">
        <f t="shared" si="64"/>
        <v>273555.46890000004</v>
      </c>
      <c r="O460" s="54">
        <f t="shared" si="64"/>
        <v>289754.02960000001</v>
      </c>
      <c r="P460" s="54">
        <f t="shared" si="64"/>
        <v>306862.62180000002</v>
      </c>
      <c r="Q460" s="54">
        <f t="shared" si="64"/>
        <v>324881.24550000002</v>
      </c>
      <c r="R460" s="54">
        <f t="shared" si="64"/>
        <v>343991.90700000001</v>
      </c>
      <c r="S460" s="54">
        <f t="shared" si="64"/>
        <v>348542.06450000004</v>
      </c>
      <c r="T460" s="54">
        <f t="shared" si="64"/>
        <v>352910.2157</v>
      </c>
      <c r="U460" s="54">
        <f t="shared" si="64"/>
        <v>357642.37950000004</v>
      </c>
      <c r="V460" s="54">
        <f t="shared" si="64"/>
        <v>362192.53700000001</v>
      </c>
      <c r="W460" s="54">
        <f t="shared" si="64"/>
        <v>286527.42719999998</v>
      </c>
      <c r="X460" s="54">
        <f t="shared" si="64"/>
        <v>290222.72139999998</v>
      </c>
      <c r="Y460" s="54">
        <f t="shared" si="64"/>
        <v>293918.01559999998</v>
      </c>
      <c r="Z460" s="54">
        <f t="shared" si="64"/>
        <v>297755.43650000001</v>
      </c>
      <c r="AA460" s="54">
        <f t="shared" si="64"/>
        <v>301592.85739999998</v>
      </c>
      <c r="AB460" s="54">
        <f t="shared" si="64"/>
        <v>-7359.0200000000023</v>
      </c>
      <c r="AC460" s="54">
        <f t="shared" si="64"/>
        <v>-7653.3808000000017</v>
      </c>
      <c r="AD460" s="54">
        <f t="shared" si="64"/>
        <v>-7958.010000000002</v>
      </c>
      <c r="AE460" s="54">
        <f t="shared" si="64"/>
        <v>-8276.3304000000026</v>
      </c>
      <c r="AF460" s="54">
        <f t="shared" si="64"/>
        <v>-8608.3420000000024</v>
      </c>
      <c r="AG460" s="54">
        <f t="shared" si="64"/>
        <v>-8954.0447999999997</v>
      </c>
      <c r="AH460" s="54">
        <f t="shared" si="64"/>
        <v>-9310.0159999999996</v>
      </c>
      <c r="AI460" s="54">
        <f t="shared" si="64"/>
        <v>-9683.101200000001</v>
      </c>
      <c r="AJ460" s="54">
        <f t="shared" si="64"/>
        <v>-10069.8776</v>
      </c>
      <c r="AK460" s="54">
        <f t="shared" si="64"/>
        <v>-10473.768</v>
      </c>
      <c r="AL460" s="54">
        <f t="shared" si="64"/>
        <v>-10894.7724</v>
      </c>
      <c r="AM460" s="54">
        <f t="shared" si="64"/>
        <v>-11329.468000000001</v>
      </c>
      <c r="AN460" s="54">
        <f t="shared" si="64"/>
        <v>-11781.277599999999</v>
      </c>
      <c r="AO460" s="54">
        <f t="shared" si="64"/>
        <v>-12253.624</v>
      </c>
      <c r="AP460" s="54">
        <f t="shared" si="64"/>
        <v>-12619.863600000001</v>
      </c>
      <c r="AQ460" s="54">
        <f t="shared" si="64"/>
        <v>-12999.794400000001</v>
      </c>
      <c r="AR460" s="54">
        <f t="shared" si="64"/>
        <v>-13389.9936</v>
      </c>
      <c r="AS460" s="54">
        <f t="shared" si="64"/>
        <v>-13790.4612</v>
      </c>
      <c r="AT460" s="54">
        <f t="shared" si="64"/>
        <v>-14204.62</v>
      </c>
      <c r="AU460" s="54">
        <f t="shared" si="64"/>
        <v>-14632.470000000001</v>
      </c>
      <c r="AV460" s="54">
        <f t="shared" si="64"/>
        <v>-15070.588400000001</v>
      </c>
      <c r="AW460" s="54">
        <f t="shared" si="64"/>
        <v>-15522.398000000001</v>
      </c>
      <c r="AX460" s="54">
        <f t="shared" si="64"/>
        <v>-15987.898800000001</v>
      </c>
      <c r="AY460" s="54">
        <f t="shared" si="64"/>
        <v>-16467.090800000002</v>
      </c>
      <c r="AZ460" s="54">
        <f t="shared" si="64"/>
        <v>-16959.974000000002</v>
      </c>
      <c r="BA460" s="54">
        <f t="shared" si="64"/>
        <v>-17469.9712</v>
      </c>
      <c r="BB460" s="54">
        <f t="shared" si="64"/>
        <v>-17993.659599999999</v>
      </c>
      <c r="BC460" s="54">
        <f t="shared" si="64"/>
        <v>-18534.462</v>
      </c>
      <c r="BD460" s="54">
        <f t="shared" si="64"/>
        <v>-19088.955600000001</v>
      </c>
      <c r="BE460" s="54">
        <f t="shared" si="64"/>
        <v>-19663.986000000001</v>
      </c>
      <c r="BF460" s="54">
        <f t="shared" si="64"/>
        <v>-20252.707600000002</v>
      </c>
      <c r="BG460" s="54">
        <f t="shared" si="64"/>
        <v>-20861.966</v>
      </c>
      <c r="BH460" s="54">
        <f t="shared" si="64"/>
        <v>-21484.9156</v>
      </c>
      <c r="BI460" s="54">
        <f t="shared" si="64"/>
        <v>-22131.824800000002</v>
      </c>
      <c r="BJ460" s="54">
        <f t="shared" si="64"/>
        <v>-22795.848000000002</v>
      </c>
      <c r="BK460" s="54">
        <f t="shared" si="64"/>
        <v>-23476.985199999999</v>
      </c>
      <c r="BL460" s="54">
        <f t="shared" si="64"/>
        <v>-24182.082000000002</v>
      </c>
      <c r="BM460" s="54">
        <f t="shared" si="64"/>
        <v>-24907.7156</v>
      </c>
      <c r="BN460" s="54">
        <f t="shared" si="64"/>
        <v>-25657.308799999999</v>
      </c>
      <c r="BO460" s="54">
        <f t="shared" ref="BO460:BY460" si="65">BO457*BO438</f>
        <v>-26424.016</v>
      </c>
      <c r="BP460" s="54">
        <f t="shared" si="65"/>
        <v>-27218.105599999999</v>
      </c>
      <c r="BQ460" s="54">
        <f t="shared" si="65"/>
        <v>-28036.1548</v>
      </c>
      <c r="BR460" s="54">
        <f t="shared" si="65"/>
        <v>-28874.7408</v>
      </c>
      <c r="BS460" s="54">
        <f t="shared" si="65"/>
        <v>-29740.709200000001</v>
      </c>
      <c r="BT460" s="54">
        <f t="shared" si="65"/>
        <v>-30336.276399999999</v>
      </c>
      <c r="BU460" s="54">
        <f t="shared" si="65"/>
        <v>-30942.112000000001</v>
      </c>
      <c r="BV460" s="54">
        <f t="shared" si="65"/>
        <v>-31561.638800000001</v>
      </c>
      <c r="BW460" s="54">
        <f t="shared" si="65"/>
        <v>-32194.856800000001</v>
      </c>
      <c r="BX460" s="54">
        <f t="shared" si="65"/>
        <v>-32838.343200000003</v>
      </c>
      <c r="BY460" s="54">
        <f t="shared" si="65"/>
        <v>-33495.520799999998</v>
      </c>
    </row>
    <row r="462" spans="2:77" s="41" customFormat="1">
      <c r="B462" s="51" t="s">
        <v>261</v>
      </c>
      <c r="C462" s="52">
        <f>C463+C464</f>
        <v>6140.709159</v>
      </c>
      <c r="D462" s="52">
        <f t="shared" ref="D462:BO462" si="66">D463+D464</f>
        <v>5618.38492064</v>
      </c>
      <c r="E462" s="52">
        <f t="shared" si="66"/>
        <v>5385.8045822799995</v>
      </c>
      <c r="F462" s="52">
        <f t="shared" si="66"/>
        <v>5153.2242439199999</v>
      </c>
      <c r="G462" s="52">
        <f t="shared" si="66"/>
        <v>4920.6439055600003</v>
      </c>
      <c r="H462" s="52">
        <f t="shared" si="66"/>
        <v>4688.0635671999999</v>
      </c>
      <c r="I462" s="52">
        <f t="shared" si="66"/>
        <v>4455.4832288400003</v>
      </c>
      <c r="J462" s="52">
        <f t="shared" si="66"/>
        <v>4222.9028904799998</v>
      </c>
      <c r="K462" s="52">
        <f t="shared" si="66"/>
        <v>3990.3225521199997</v>
      </c>
      <c r="L462" s="52">
        <f t="shared" si="66"/>
        <v>3757.7422137600001</v>
      </c>
      <c r="M462" s="52">
        <f t="shared" si="66"/>
        <v>3525.1618754000001</v>
      </c>
      <c r="N462" s="52">
        <f t="shared" si="66"/>
        <v>3292.5815370400001</v>
      </c>
      <c r="O462" s="52">
        <f t="shared" si="66"/>
        <v>3060.00119868</v>
      </c>
      <c r="P462" s="52">
        <f t="shared" si="66"/>
        <v>2827.42086032</v>
      </c>
      <c r="Q462" s="52">
        <f t="shared" si="66"/>
        <v>2594.8405219599999</v>
      </c>
      <c r="R462" s="52">
        <f t="shared" si="66"/>
        <v>2362.2601835999999</v>
      </c>
      <c r="S462" s="52">
        <f t="shared" si="66"/>
        <v>2129.6798452399998</v>
      </c>
      <c r="T462" s="52">
        <f t="shared" si="66"/>
        <v>1897.09950688</v>
      </c>
      <c r="U462" s="52">
        <f t="shared" si="66"/>
        <v>1664.51916852</v>
      </c>
      <c r="V462" s="52">
        <f t="shared" si="66"/>
        <v>1431.93883016</v>
      </c>
      <c r="W462" s="52">
        <f t="shared" si="66"/>
        <v>1159.4788917999999</v>
      </c>
      <c r="X462" s="52">
        <f t="shared" si="66"/>
        <v>926.89855344</v>
      </c>
      <c r="Y462" s="52">
        <f t="shared" si="66"/>
        <v>694.31821507999996</v>
      </c>
      <c r="Z462" s="52">
        <f t="shared" si="66"/>
        <v>461.73787672000003</v>
      </c>
      <c r="AA462" s="52">
        <f t="shared" si="66"/>
        <v>229.15753836000002</v>
      </c>
      <c r="AB462" s="52">
        <f t="shared" si="66"/>
        <v>-3.422800000000001</v>
      </c>
      <c r="AC462" s="52">
        <f t="shared" si="66"/>
        <v>-3.422800000000001</v>
      </c>
      <c r="AD462" s="52">
        <f t="shared" si="66"/>
        <v>-3.422800000000001</v>
      </c>
      <c r="AE462" s="52">
        <f t="shared" si="66"/>
        <v>-3.422800000000001</v>
      </c>
      <c r="AF462" s="52">
        <f t="shared" si="66"/>
        <v>-3.422800000000001</v>
      </c>
      <c r="AG462" s="52">
        <f t="shared" si="66"/>
        <v>-3.4228000000000001</v>
      </c>
      <c r="AH462" s="52">
        <f t="shared" si="66"/>
        <v>-3.4228000000000001</v>
      </c>
      <c r="AI462" s="52">
        <f t="shared" si="66"/>
        <v>-3.4228000000000001</v>
      </c>
      <c r="AJ462" s="52">
        <f t="shared" si="66"/>
        <v>-3.4228000000000001</v>
      </c>
      <c r="AK462" s="52">
        <f t="shared" si="66"/>
        <v>-3.4228000000000001</v>
      </c>
      <c r="AL462" s="52">
        <f t="shared" si="66"/>
        <v>-3.4228000000000001</v>
      </c>
      <c r="AM462" s="52">
        <f t="shared" si="66"/>
        <v>-3.4228000000000001</v>
      </c>
      <c r="AN462" s="52">
        <f t="shared" si="66"/>
        <v>-3.4228000000000001</v>
      </c>
      <c r="AO462" s="52">
        <f t="shared" si="66"/>
        <v>-3.4228000000000001</v>
      </c>
      <c r="AP462" s="52">
        <f t="shared" si="66"/>
        <v>-3.4228000000000001</v>
      </c>
      <c r="AQ462" s="52">
        <f t="shared" si="66"/>
        <v>-3.4228000000000001</v>
      </c>
      <c r="AR462" s="52">
        <f t="shared" si="66"/>
        <v>-3.4228000000000001</v>
      </c>
      <c r="AS462" s="52">
        <f t="shared" si="66"/>
        <v>-3.4228000000000001</v>
      </c>
      <c r="AT462" s="52">
        <f t="shared" si="66"/>
        <v>-3.4228000000000001</v>
      </c>
      <c r="AU462" s="52">
        <f t="shared" si="66"/>
        <v>-3.4228000000000001</v>
      </c>
      <c r="AV462" s="52">
        <f t="shared" si="66"/>
        <v>-3.4228000000000001</v>
      </c>
      <c r="AW462" s="52">
        <f t="shared" si="66"/>
        <v>-3.4228000000000001</v>
      </c>
      <c r="AX462" s="52">
        <f t="shared" si="66"/>
        <v>-3.4228000000000001</v>
      </c>
      <c r="AY462" s="52">
        <f t="shared" si="66"/>
        <v>-3.4228000000000001</v>
      </c>
      <c r="AZ462" s="52">
        <f t="shared" si="66"/>
        <v>-3.4228000000000001</v>
      </c>
      <c r="BA462" s="52">
        <f t="shared" si="66"/>
        <v>-3.4228000000000001</v>
      </c>
      <c r="BB462" s="52">
        <f t="shared" si="66"/>
        <v>-3.4228000000000001</v>
      </c>
      <c r="BC462" s="52">
        <f t="shared" si="66"/>
        <v>-3.4228000000000001</v>
      </c>
      <c r="BD462" s="52">
        <f t="shared" si="66"/>
        <v>-3.4228000000000001</v>
      </c>
      <c r="BE462" s="52">
        <f t="shared" si="66"/>
        <v>-3.4228000000000001</v>
      </c>
      <c r="BF462" s="52">
        <f t="shared" si="66"/>
        <v>-3.4228000000000001</v>
      </c>
      <c r="BG462" s="52">
        <f t="shared" si="66"/>
        <v>-3.4228000000000001</v>
      </c>
      <c r="BH462" s="52">
        <f t="shared" si="66"/>
        <v>-3.4228000000000001</v>
      </c>
      <c r="BI462" s="52">
        <f t="shared" si="66"/>
        <v>-3.4228000000000001</v>
      </c>
      <c r="BJ462" s="52">
        <f t="shared" si="66"/>
        <v>-3.4228000000000001</v>
      </c>
      <c r="BK462" s="52">
        <f t="shared" si="66"/>
        <v>-3.4228000000000001</v>
      </c>
      <c r="BL462" s="52">
        <f t="shared" si="66"/>
        <v>-3.4228000000000001</v>
      </c>
      <c r="BM462" s="52">
        <f t="shared" si="66"/>
        <v>-3.4228000000000001</v>
      </c>
      <c r="BN462" s="52">
        <f t="shared" si="66"/>
        <v>-3.4228000000000001</v>
      </c>
      <c r="BO462" s="52">
        <f t="shared" si="66"/>
        <v>-3.4228000000000001</v>
      </c>
      <c r="BP462" s="52">
        <f t="shared" ref="BP462:BY462" si="67">BP463+BP464</f>
        <v>-3.4228000000000001</v>
      </c>
      <c r="BQ462" s="52">
        <f t="shared" si="67"/>
        <v>-3.4228000000000001</v>
      </c>
      <c r="BR462" s="52">
        <f t="shared" si="67"/>
        <v>-3.4228000000000001</v>
      </c>
      <c r="BS462" s="52">
        <f t="shared" si="67"/>
        <v>-3.4228000000000001</v>
      </c>
      <c r="BT462" s="52">
        <f t="shared" si="67"/>
        <v>-3.4228000000000001</v>
      </c>
      <c r="BU462" s="52">
        <f t="shared" si="67"/>
        <v>-3.4228000000000001</v>
      </c>
      <c r="BV462" s="52">
        <f t="shared" si="67"/>
        <v>-3.4228000000000001</v>
      </c>
      <c r="BW462" s="52">
        <f t="shared" si="67"/>
        <v>-3.4228000000000001</v>
      </c>
      <c r="BX462" s="52">
        <f t="shared" si="67"/>
        <v>-3.4228000000000001</v>
      </c>
      <c r="BY462" s="52">
        <f t="shared" si="67"/>
        <v>-3.4228000000000001</v>
      </c>
    </row>
    <row r="463" spans="2:77">
      <c r="B463" s="3" t="s">
        <v>257</v>
      </c>
      <c r="C463" s="10">
        <f>C458</f>
        <v>326.20070000000004</v>
      </c>
      <c r="D463" s="10">
        <f t="shared" ref="D463:BO463" si="68">D458</f>
        <v>36.456800000000001</v>
      </c>
      <c r="E463" s="10">
        <f t="shared" si="68"/>
        <v>36.456800000000001</v>
      </c>
      <c r="F463" s="10">
        <f t="shared" si="68"/>
        <v>36.456800000000001</v>
      </c>
      <c r="G463" s="10">
        <f t="shared" si="68"/>
        <v>36.456800000000001</v>
      </c>
      <c r="H463" s="10">
        <f t="shared" si="68"/>
        <v>36.456800000000001</v>
      </c>
      <c r="I463" s="10">
        <f t="shared" si="68"/>
        <v>36.456800000000001</v>
      </c>
      <c r="J463" s="10">
        <f t="shared" si="68"/>
        <v>36.456800000000001</v>
      </c>
      <c r="K463" s="10">
        <f t="shared" si="68"/>
        <v>36.456800000000001</v>
      </c>
      <c r="L463" s="10">
        <f t="shared" si="68"/>
        <v>36.456800000000001</v>
      </c>
      <c r="M463" s="10">
        <f t="shared" si="68"/>
        <v>36.456800000000001</v>
      </c>
      <c r="N463" s="10">
        <f t="shared" si="68"/>
        <v>36.456800000000001</v>
      </c>
      <c r="O463" s="10">
        <f t="shared" si="68"/>
        <v>36.456800000000001</v>
      </c>
      <c r="P463" s="10">
        <f t="shared" si="68"/>
        <v>36.456800000000001</v>
      </c>
      <c r="Q463" s="10">
        <f t="shared" si="68"/>
        <v>36.456800000000001</v>
      </c>
      <c r="R463" s="10">
        <f t="shared" si="68"/>
        <v>36.456800000000001</v>
      </c>
      <c r="S463" s="10">
        <f t="shared" si="68"/>
        <v>36.456800000000001</v>
      </c>
      <c r="T463" s="10">
        <f t="shared" si="68"/>
        <v>36.456800000000001</v>
      </c>
      <c r="U463" s="10">
        <f t="shared" si="68"/>
        <v>36.456800000000001</v>
      </c>
      <c r="V463" s="10">
        <f t="shared" si="68"/>
        <v>36.456800000000001</v>
      </c>
      <c r="W463" s="10">
        <f t="shared" si="68"/>
        <v>-3.422800000000001</v>
      </c>
      <c r="X463" s="10">
        <f t="shared" si="68"/>
        <v>-3.422800000000001</v>
      </c>
      <c r="Y463" s="10">
        <f t="shared" si="68"/>
        <v>-3.422800000000001</v>
      </c>
      <c r="Z463" s="10">
        <f t="shared" si="68"/>
        <v>-3.422800000000001</v>
      </c>
      <c r="AA463" s="10">
        <f t="shared" si="68"/>
        <v>-3.422800000000001</v>
      </c>
      <c r="AB463" s="10">
        <f t="shared" si="68"/>
        <v>-3.422800000000001</v>
      </c>
      <c r="AC463" s="10">
        <f t="shared" si="68"/>
        <v>-3.422800000000001</v>
      </c>
      <c r="AD463" s="10">
        <f t="shared" si="68"/>
        <v>-3.422800000000001</v>
      </c>
      <c r="AE463" s="10">
        <f t="shared" si="68"/>
        <v>-3.422800000000001</v>
      </c>
      <c r="AF463" s="10">
        <f t="shared" si="68"/>
        <v>-3.422800000000001</v>
      </c>
      <c r="AG463" s="10">
        <f t="shared" si="68"/>
        <v>-3.4228000000000001</v>
      </c>
      <c r="AH463" s="10">
        <f t="shared" si="68"/>
        <v>-3.4228000000000001</v>
      </c>
      <c r="AI463" s="10">
        <f t="shared" si="68"/>
        <v>-3.4228000000000001</v>
      </c>
      <c r="AJ463" s="10">
        <f t="shared" si="68"/>
        <v>-3.4228000000000001</v>
      </c>
      <c r="AK463" s="10">
        <f t="shared" si="68"/>
        <v>-3.4228000000000001</v>
      </c>
      <c r="AL463" s="10">
        <f t="shared" si="68"/>
        <v>-3.4228000000000001</v>
      </c>
      <c r="AM463" s="10">
        <f t="shared" si="68"/>
        <v>-3.4228000000000001</v>
      </c>
      <c r="AN463" s="10">
        <f t="shared" si="68"/>
        <v>-3.4228000000000001</v>
      </c>
      <c r="AO463" s="10">
        <f t="shared" si="68"/>
        <v>-3.4228000000000001</v>
      </c>
      <c r="AP463" s="10">
        <f t="shared" si="68"/>
        <v>-3.4228000000000001</v>
      </c>
      <c r="AQ463" s="10">
        <f t="shared" si="68"/>
        <v>-3.4228000000000001</v>
      </c>
      <c r="AR463" s="10">
        <f t="shared" si="68"/>
        <v>-3.4228000000000001</v>
      </c>
      <c r="AS463" s="10">
        <f t="shared" si="68"/>
        <v>-3.4228000000000001</v>
      </c>
      <c r="AT463" s="10">
        <f t="shared" si="68"/>
        <v>-3.4228000000000001</v>
      </c>
      <c r="AU463" s="10">
        <f t="shared" si="68"/>
        <v>-3.4228000000000001</v>
      </c>
      <c r="AV463" s="10">
        <f t="shared" si="68"/>
        <v>-3.4228000000000001</v>
      </c>
      <c r="AW463" s="10">
        <f t="shared" si="68"/>
        <v>-3.4228000000000001</v>
      </c>
      <c r="AX463" s="10">
        <f t="shared" si="68"/>
        <v>-3.4228000000000001</v>
      </c>
      <c r="AY463" s="10">
        <f t="shared" si="68"/>
        <v>-3.4228000000000001</v>
      </c>
      <c r="AZ463" s="10">
        <f t="shared" si="68"/>
        <v>-3.4228000000000001</v>
      </c>
      <c r="BA463" s="10">
        <f t="shared" si="68"/>
        <v>-3.4228000000000001</v>
      </c>
      <c r="BB463" s="10">
        <f t="shared" si="68"/>
        <v>-3.4228000000000001</v>
      </c>
      <c r="BC463" s="10">
        <f t="shared" si="68"/>
        <v>-3.4228000000000001</v>
      </c>
      <c r="BD463" s="10">
        <f t="shared" si="68"/>
        <v>-3.4228000000000001</v>
      </c>
      <c r="BE463" s="10">
        <f t="shared" si="68"/>
        <v>-3.4228000000000001</v>
      </c>
      <c r="BF463" s="10">
        <f t="shared" si="68"/>
        <v>-3.4228000000000001</v>
      </c>
      <c r="BG463" s="10">
        <f t="shared" si="68"/>
        <v>-3.4228000000000001</v>
      </c>
      <c r="BH463" s="10">
        <f t="shared" si="68"/>
        <v>-3.4228000000000001</v>
      </c>
      <c r="BI463" s="10">
        <f t="shared" si="68"/>
        <v>-3.4228000000000001</v>
      </c>
      <c r="BJ463" s="10">
        <f t="shared" si="68"/>
        <v>-3.4228000000000001</v>
      </c>
      <c r="BK463" s="10">
        <f t="shared" si="68"/>
        <v>-3.4228000000000001</v>
      </c>
      <c r="BL463" s="10">
        <f t="shared" si="68"/>
        <v>-3.4228000000000001</v>
      </c>
      <c r="BM463" s="10">
        <f t="shared" si="68"/>
        <v>-3.4228000000000001</v>
      </c>
      <c r="BN463" s="10">
        <f t="shared" si="68"/>
        <v>-3.4228000000000001</v>
      </c>
      <c r="BO463" s="10">
        <f t="shared" si="68"/>
        <v>-3.4228000000000001</v>
      </c>
      <c r="BP463" s="10">
        <f t="shared" ref="BP463:BY463" si="69">BP458</f>
        <v>-3.4228000000000001</v>
      </c>
      <c r="BQ463" s="10">
        <f t="shared" si="69"/>
        <v>-3.4228000000000001</v>
      </c>
      <c r="BR463" s="10">
        <f t="shared" si="69"/>
        <v>-3.4228000000000001</v>
      </c>
      <c r="BS463" s="10">
        <f t="shared" si="69"/>
        <v>-3.4228000000000001</v>
      </c>
      <c r="BT463" s="10">
        <f t="shared" si="69"/>
        <v>-3.4228000000000001</v>
      </c>
      <c r="BU463" s="10">
        <f t="shared" si="69"/>
        <v>-3.4228000000000001</v>
      </c>
      <c r="BV463" s="10">
        <f t="shared" si="69"/>
        <v>-3.4228000000000001</v>
      </c>
      <c r="BW463" s="10">
        <f t="shared" si="69"/>
        <v>-3.4228000000000001</v>
      </c>
      <c r="BX463" s="10">
        <f t="shared" si="69"/>
        <v>-3.4228000000000001</v>
      </c>
      <c r="BY463" s="10">
        <f t="shared" si="69"/>
        <v>-3.4228000000000001</v>
      </c>
    </row>
    <row r="464" spans="2:77">
      <c r="B464" s="3" t="s">
        <v>102</v>
      </c>
      <c r="C464" s="10">
        <f>C453</f>
        <v>5814.5084589999997</v>
      </c>
      <c r="D464" s="10">
        <f t="shared" ref="D464:BO464" si="70">D453</f>
        <v>5581.9281206400001</v>
      </c>
      <c r="E464" s="10">
        <f t="shared" si="70"/>
        <v>5349.3477822799996</v>
      </c>
      <c r="F464" s="10">
        <f t="shared" si="70"/>
        <v>5116.76744392</v>
      </c>
      <c r="G464" s="10">
        <f t="shared" si="70"/>
        <v>4884.1871055600004</v>
      </c>
      <c r="H464" s="10">
        <f t="shared" si="70"/>
        <v>4651.6067671999999</v>
      </c>
      <c r="I464" s="10">
        <f t="shared" si="70"/>
        <v>4419.0264288400003</v>
      </c>
      <c r="J464" s="10">
        <f t="shared" si="70"/>
        <v>4186.4460904799998</v>
      </c>
      <c r="K464" s="10">
        <f t="shared" si="70"/>
        <v>3953.8657521199998</v>
      </c>
      <c r="L464" s="10">
        <f t="shared" si="70"/>
        <v>3721.2854137600002</v>
      </c>
      <c r="M464" s="10">
        <f t="shared" si="70"/>
        <v>3488.7050754000002</v>
      </c>
      <c r="N464" s="10">
        <f t="shared" si="70"/>
        <v>3256.1247370400001</v>
      </c>
      <c r="O464" s="10">
        <f t="shared" si="70"/>
        <v>3023.5443986800001</v>
      </c>
      <c r="P464" s="10">
        <f t="shared" si="70"/>
        <v>2790.96406032</v>
      </c>
      <c r="Q464" s="10">
        <f t="shared" si="70"/>
        <v>2558.38372196</v>
      </c>
      <c r="R464" s="10">
        <f t="shared" si="70"/>
        <v>2325.8033836</v>
      </c>
      <c r="S464" s="10">
        <f t="shared" si="70"/>
        <v>2093.2230452399999</v>
      </c>
      <c r="T464" s="10">
        <f t="shared" si="70"/>
        <v>1860.6427068800001</v>
      </c>
      <c r="U464" s="10">
        <f t="shared" si="70"/>
        <v>1628.0623685200001</v>
      </c>
      <c r="V464" s="10">
        <f t="shared" si="70"/>
        <v>1395.48203016</v>
      </c>
      <c r="W464" s="10">
        <f t="shared" si="70"/>
        <v>1162.9016918</v>
      </c>
      <c r="X464" s="10">
        <f t="shared" si="70"/>
        <v>930.32135344000005</v>
      </c>
      <c r="Y464" s="10">
        <f t="shared" si="70"/>
        <v>697.74101508000001</v>
      </c>
      <c r="Z464" s="10">
        <f t="shared" si="70"/>
        <v>465.16067672000003</v>
      </c>
      <c r="AA464" s="10">
        <f t="shared" si="70"/>
        <v>232.58033836000001</v>
      </c>
      <c r="AB464" s="10">
        <f t="shared" si="70"/>
        <v>0</v>
      </c>
      <c r="AC464" s="10">
        <f t="shared" si="70"/>
        <v>0</v>
      </c>
      <c r="AD464" s="10">
        <f t="shared" si="70"/>
        <v>0</v>
      </c>
      <c r="AE464" s="10">
        <f t="shared" si="70"/>
        <v>0</v>
      </c>
      <c r="AF464" s="10">
        <f t="shared" si="70"/>
        <v>0</v>
      </c>
      <c r="AG464" s="10">
        <f t="shared" si="70"/>
        <v>0</v>
      </c>
      <c r="AH464" s="10">
        <f t="shared" si="70"/>
        <v>0</v>
      </c>
      <c r="AI464" s="10">
        <f t="shared" si="70"/>
        <v>0</v>
      </c>
      <c r="AJ464" s="10">
        <f t="shared" si="70"/>
        <v>0</v>
      </c>
      <c r="AK464" s="10">
        <f t="shared" si="70"/>
        <v>0</v>
      </c>
      <c r="AL464" s="10">
        <f t="shared" si="70"/>
        <v>0</v>
      </c>
      <c r="AM464" s="10">
        <f t="shared" si="70"/>
        <v>0</v>
      </c>
      <c r="AN464" s="10">
        <f t="shared" si="70"/>
        <v>0</v>
      </c>
      <c r="AO464" s="10">
        <f t="shared" si="70"/>
        <v>0</v>
      </c>
      <c r="AP464" s="10">
        <f t="shared" si="70"/>
        <v>0</v>
      </c>
      <c r="AQ464" s="10">
        <f t="shared" si="70"/>
        <v>0</v>
      </c>
      <c r="AR464" s="10">
        <f t="shared" si="70"/>
        <v>0</v>
      </c>
      <c r="AS464" s="10">
        <f t="shared" si="70"/>
        <v>0</v>
      </c>
      <c r="AT464" s="10">
        <f t="shared" si="70"/>
        <v>0</v>
      </c>
      <c r="AU464" s="10">
        <f t="shared" si="70"/>
        <v>0</v>
      </c>
      <c r="AV464" s="10">
        <f t="shared" si="70"/>
        <v>0</v>
      </c>
      <c r="AW464" s="10">
        <f t="shared" si="70"/>
        <v>0</v>
      </c>
      <c r="AX464" s="10">
        <f t="shared" si="70"/>
        <v>0</v>
      </c>
      <c r="AY464" s="10">
        <f t="shared" si="70"/>
        <v>0</v>
      </c>
      <c r="AZ464" s="10">
        <f t="shared" si="70"/>
        <v>0</v>
      </c>
      <c r="BA464" s="10">
        <f t="shared" si="70"/>
        <v>0</v>
      </c>
      <c r="BB464" s="10">
        <f t="shared" si="70"/>
        <v>0</v>
      </c>
      <c r="BC464" s="10">
        <f t="shared" si="70"/>
        <v>0</v>
      </c>
      <c r="BD464" s="10">
        <f t="shared" si="70"/>
        <v>0</v>
      </c>
      <c r="BE464" s="10">
        <f t="shared" si="70"/>
        <v>0</v>
      </c>
      <c r="BF464" s="10">
        <f t="shared" si="70"/>
        <v>0</v>
      </c>
      <c r="BG464" s="10">
        <f t="shared" si="70"/>
        <v>0</v>
      </c>
      <c r="BH464" s="10">
        <f t="shared" si="70"/>
        <v>0</v>
      </c>
      <c r="BI464" s="10">
        <f t="shared" si="70"/>
        <v>0</v>
      </c>
      <c r="BJ464" s="10">
        <f t="shared" si="70"/>
        <v>0</v>
      </c>
      <c r="BK464" s="10">
        <f t="shared" si="70"/>
        <v>0</v>
      </c>
      <c r="BL464" s="10">
        <f t="shared" si="70"/>
        <v>0</v>
      </c>
      <c r="BM464" s="10">
        <f t="shared" si="70"/>
        <v>0</v>
      </c>
      <c r="BN464" s="10">
        <f t="shared" si="70"/>
        <v>0</v>
      </c>
      <c r="BO464" s="10">
        <f t="shared" si="70"/>
        <v>0</v>
      </c>
      <c r="BP464" s="10">
        <f t="shared" ref="BP464:BY464" si="71">BP453</f>
        <v>0</v>
      </c>
      <c r="BQ464" s="10">
        <f t="shared" si="71"/>
        <v>0</v>
      </c>
      <c r="BR464" s="10">
        <f t="shared" si="71"/>
        <v>0</v>
      </c>
      <c r="BS464" s="10">
        <f t="shared" si="71"/>
        <v>0</v>
      </c>
      <c r="BT464" s="10">
        <f t="shared" si="71"/>
        <v>0</v>
      </c>
      <c r="BU464" s="10">
        <f t="shared" si="71"/>
        <v>0</v>
      </c>
      <c r="BV464" s="10">
        <f t="shared" si="71"/>
        <v>0</v>
      </c>
      <c r="BW464" s="10">
        <f t="shared" si="71"/>
        <v>0</v>
      </c>
      <c r="BX464" s="10">
        <f t="shared" si="71"/>
        <v>0</v>
      </c>
      <c r="BY464" s="10">
        <f t="shared" si="71"/>
        <v>0</v>
      </c>
    </row>
    <row r="465" spans="2:77">
      <c r="B465" s="53" t="s">
        <v>111</v>
      </c>
      <c r="C465" s="54">
        <f t="shared" ref="C465:BN465" si="72">C462*C438</f>
        <v>5839814.4102090001</v>
      </c>
      <c r="D465" s="54">
        <f t="shared" si="72"/>
        <v>5449833.3730207998</v>
      </c>
      <c r="E465" s="54">
        <f t="shared" si="72"/>
        <v>5331946.5364571996</v>
      </c>
      <c r="F465" s="54">
        <f t="shared" si="72"/>
        <v>5230522.6075788001</v>
      </c>
      <c r="G465" s="54">
        <f t="shared" si="72"/>
        <v>5117469.6617824007</v>
      </c>
      <c r="H465" s="54">
        <f t="shared" si="72"/>
        <v>4997475.7626352003</v>
      </c>
      <c r="I465" s="54">
        <f t="shared" si="72"/>
        <v>5030240.5653603598</v>
      </c>
      <c r="J465" s="54">
        <f t="shared" si="72"/>
        <v>5050591.8570140796</v>
      </c>
      <c r="K465" s="54">
        <f t="shared" si="72"/>
        <v>5051748.3509839196</v>
      </c>
      <c r="L465" s="54">
        <f t="shared" si="72"/>
        <v>5039132.3086521598</v>
      </c>
      <c r="M465" s="54">
        <f t="shared" si="72"/>
        <v>5005729.8630680004</v>
      </c>
      <c r="N465" s="54">
        <f t="shared" si="72"/>
        <v>4948750.0501711201</v>
      </c>
      <c r="O465" s="54">
        <f t="shared" si="72"/>
        <v>4871521.9082985604</v>
      </c>
      <c r="P465" s="54">
        <f t="shared" si="72"/>
        <v>4767031.5704995198</v>
      </c>
      <c r="Q465" s="54">
        <f t="shared" si="72"/>
        <v>4631790.3316986002</v>
      </c>
      <c r="R465" s="54">
        <f t="shared" si="72"/>
        <v>4464671.7470039995</v>
      </c>
      <c r="S465" s="54">
        <f t="shared" si="72"/>
        <v>4078336.9036345999</v>
      </c>
      <c r="T465" s="54">
        <f t="shared" si="72"/>
        <v>3678475.9438403202</v>
      </c>
      <c r="U465" s="54">
        <f t="shared" si="72"/>
        <v>3270780.1661418001</v>
      </c>
      <c r="V465" s="54">
        <f t="shared" si="72"/>
        <v>2849558.2720184</v>
      </c>
      <c r="W465" s="54">
        <f t="shared" si="72"/>
        <v>2337509.4458687999</v>
      </c>
      <c r="X465" s="54">
        <f t="shared" si="72"/>
        <v>1892726.84612448</v>
      </c>
      <c r="Y465" s="54">
        <f t="shared" si="72"/>
        <v>1435850.0687854399</v>
      </c>
      <c r="Z465" s="54">
        <f t="shared" si="72"/>
        <v>967340.8517284001</v>
      </c>
      <c r="AA465" s="54">
        <f t="shared" si="72"/>
        <v>486272.29639992001</v>
      </c>
      <c r="AB465" s="54">
        <f t="shared" si="72"/>
        <v>-7359.0200000000023</v>
      </c>
      <c r="AC465" s="54">
        <f t="shared" si="72"/>
        <v>-7653.3808000000017</v>
      </c>
      <c r="AD465" s="54">
        <f t="shared" si="72"/>
        <v>-7958.010000000002</v>
      </c>
      <c r="AE465" s="54">
        <f t="shared" si="72"/>
        <v>-8276.3304000000026</v>
      </c>
      <c r="AF465" s="54">
        <f t="shared" si="72"/>
        <v>-8608.3420000000024</v>
      </c>
      <c r="AG465" s="54">
        <f t="shared" si="72"/>
        <v>-8954.0447999999997</v>
      </c>
      <c r="AH465" s="54">
        <f t="shared" si="72"/>
        <v>-9310.0159999999996</v>
      </c>
      <c r="AI465" s="54">
        <f t="shared" si="72"/>
        <v>-9683.101200000001</v>
      </c>
      <c r="AJ465" s="54">
        <f t="shared" si="72"/>
        <v>-10069.8776</v>
      </c>
      <c r="AK465" s="54">
        <f t="shared" si="72"/>
        <v>-10473.768</v>
      </c>
      <c r="AL465" s="54">
        <f t="shared" si="72"/>
        <v>-10894.7724</v>
      </c>
      <c r="AM465" s="54">
        <f t="shared" si="72"/>
        <v>-11329.468000000001</v>
      </c>
      <c r="AN465" s="54">
        <f t="shared" si="72"/>
        <v>-11781.277599999999</v>
      </c>
      <c r="AO465" s="54">
        <f t="shared" si="72"/>
        <v>-12253.624</v>
      </c>
      <c r="AP465" s="54">
        <f t="shared" si="72"/>
        <v>-12619.863600000001</v>
      </c>
      <c r="AQ465" s="54">
        <f t="shared" si="72"/>
        <v>-12999.794400000001</v>
      </c>
      <c r="AR465" s="54">
        <f t="shared" si="72"/>
        <v>-13389.9936</v>
      </c>
      <c r="AS465" s="54">
        <f t="shared" si="72"/>
        <v>-13790.4612</v>
      </c>
      <c r="AT465" s="54">
        <f t="shared" si="72"/>
        <v>-14204.62</v>
      </c>
      <c r="AU465" s="54">
        <f t="shared" si="72"/>
        <v>-14632.470000000001</v>
      </c>
      <c r="AV465" s="54">
        <f t="shared" si="72"/>
        <v>-15070.588400000001</v>
      </c>
      <c r="AW465" s="54">
        <f t="shared" si="72"/>
        <v>-15522.398000000001</v>
      </c>
      <c r="AX465" s="54">
        <f t="shared" si="72"/>
        <v>-15987.898800000001</v>
      </c>
      <c r="AY465" s="54">
        <f t="shared" si="72"/>
        <v>-16467.090800000002</v>
      </c>
      <c r="AZ465" s="54">
        <f t="shared" si="72"/>
        <v>-16959.974000000002</v>
      </c>
      <c r="BA465" s="54">
        <f t="shared" si="72"/>
        <v>-17469.9712</v>
      </c>
      <c r="BB465" s="54">
        <f t="shared" si="72"/>
        <v>-17993.659599999999</v>
      </c>
      <c r="BC465" s="54">
        <f t="shared" si="72"/>
        <v>-18534.462</v>
      </c>
      <c r="BD465" s="54">
        <f t="shared" si="72"/>
        <v>-19088.955600000001</v>
      </c>
      <c r="BE465" s="54">
        <f t="shared" si="72"/>
        <v>-19663.986000000001</v>
      </c>
      <c r="BF465" s="54">
        <f t="shared" si="72"/>
        <v>-20252.707600000002</v>
      </c>
      <c r="BG465" s="54">
        <f t="shared" si="72"/>
        <v>-20861.966</v>
      </c>
      <c r="BH465" s="54">
        <f t="shared" si="72"/>
        <v>-21484.9156</v>
      </c>
      <c r="BI465" s="54">
        <f t="shared" si="72"/>
        <v>-22131.824800000002</v>
      </c>
      <c r="BJ465" s="54">
        <f t="shared" si="72"/>
        <v>-22795.848000000002</v>
      </c>
      <c r="BK465" s="54">
        <f t="shared" si="72"/>
        <v>-23476.985199999999</v>
      </c>
      <c r="BL465" s="54">
        <f t="shared" si="72"/>
        <v>-24182.082000000002</v>
      </c>
      <c r="BM465" s="54">
        <f t="shared" si="72"/>
        <v>-24907.7156</v>
      </c>
      <c r="BN465" s="54">
        <f t="shared" si="72"/>
        <v>-25657.308799999999</v>
      </c>
      <c r="BO465" s="54">
        <f t="shared" ref="BO465:BY465" si="73">BO462*BO438</f>
        <v>-26424.016</v>
      </c>
      <c r="BP465" s="54">
        <f t="shared" si="73"/>
        <v>-27218.105599999999</v>
      </c>
      <c r="BQ465" s="54">
        <f t="shared" si="73"/>
        <v>-28036.1548</v>
      </c>
      <c r="BR465" s="54">
        <f t="shared" si="73"/>
        <v>-28874.7408</v>
      </c>
      <c r="BS465" s="54">
        <f t="shared" si="73"/>
        <v>-29740.709200000001</v>
      </c>
      <c r="BT465" s="54">
        <f t="shared" si="73"/>
        <v>-30336.276399999999</v>
      </c>
      <c r="BU465" s="54">
        <f t="shared" si="73"/>
        <v>-30942.112000000001</v>
      </c>
      <c r="BV465" s="54">
        <f t="shared" si="73"/>
        <v>-31561.638800000001</v>
      </c>
      <c r="BW465" s="54">
        <f t="shared" si="73"/>
        <v>-32194.856800000001</v>
      </c>
      <c r="BX465" s="54">
        <f t="shared" si="73"/>
        <v>-32838.343200000003</v>
      </c>
      <c r="BY465" s="54">
        <f t="shared" si="73"/>
        <v>-33495.520799999998</v>
      </c>
    </row>
    <row r="467" spans="2:77" s="41" customFormat="1">
      <c r="B467" s="51" t="s">
        <v>197</v>
      </c>
      <c r="C467" s="52">
        <f>C468+C469</f>
        <v>4818.0360490825597</v>
      </c>
      <c r="D467" s="52">
        <f t="shared" ref="D467:BO467" si="74">D468+D469</f>
        <v>2.8250755089999999</v>
      </c>
      <c r="E467" s="52">
        <f t="shared" si="74"/>
        <v>2.8250755089999999</v>
      </c>
      <c r="F467" s="52">
        <f t="shared" si="74"/>
        <v>2.8250755089999999</v>
      </c>
      <c r="G467" s="52">
        <f t="shared" si="74"/>
        <v>2.8250755089999999</v>
      </c>
      <c r="H467" s="52">
        <f t="shared" si="74"/>
        <v>2.8250755089999999</v>
      </c>
      <c r="I467" s="52">
        <f t="shared" si="74"/>
        <v>2.8250755089999999</v>
      </c>
      <c r="J467" s="52">
        <f t="shared" si="74"/>
        <v>2.8250755089999999</v>
      </c>
      <c r="K467" s="52">
        <f t="shared" si="74"/>
        <v>2.8250755089999999</v>
      </c>
      <c r="L467" s="52">
        <f t="shared" si="74"/>
        <v>2.8250755089999999</v>
      </c>
      <c r="M467" s="52">
        <f t="shared" si="74"/>
        <v>2.8250755089999999</v>
      </c>
      <c r="N467" s="52">
        <f t="shared" si="74"/>
        <v>2.8250755089999999</v>
      </c>
      <c r="O467" s="52">
        <f t="shared" si="74"/>
        <v>2.8250755089999999</v>
      </c>
      <c r="P467" s="52">
        <f t="shared" si="74"/>
        <v>2.8250755089999999</v>
      </c>
      <c r="Q467" s="52">
        <f t="shared" si="74"/>
        <v>2.8250755089999999</v>
      </c>
      <c r="R467" s="52">
        <f t="shared" si="74"/>
        <v>2.8250755089999999</v>
      </c>
      <c r="S467" s="52">
        <f t="shared" si="74"/>
        <v>2.8250755089999999</v>
      </c>
      <c r="T467" s="52">
        <f t="shared" si="74"/>
        <v>2.8250755089999999</v>
      </c>
      <c r="U467" s="52">
        <f t="shared" si="74"/>
        <v>2.8250755089999999</v>
      </c>
      <c r="V467" s="52">
        <f t="shared" si="74"/>
        <v>2.8250755089999999</v>
      </c>
      <c r="W467" s="52">
        <f t="shared" si="74"/>
        <v>0.35266136399999998</v>
      </c>
      <c r="X467" s="52">
        <f t="shared" si="74"/>
        <v>0.35266136399999998</v>
      </c>
      <c r="Y467" s="52">
        <f t="shared" si="74"/>
        <v>0.35266136399999998</v>
      </c>
      <c r="Z467" s="52">
        <f t="shared" si="74"/>
        <v>0.35266136399999998</v>
      </c>
      <c r="AA467" s="52">
        <f t="shared" si="74"/>
        <v>0.35266136399999998</v>
      </c>
      <c r="AB467" s="52">
        <f t="shared" si="74"/>
        <v>0.35266136399999998</v>
      </c>
      <c r="AC467" s="52">
        <f t="shared" si="74"/>
        <v>0.35266136399999998</v>
      </c>
      <c r="AD467" s="52">
        <f t="shared" si="74"/>
        <v>0.35266136399999998</v>
      </c>
      <c r="AE467" s="52">
        <f t="shared" si="74"/>
        <v>0.35266136399999998</v>
      </c>
      <c r="AF467" s="52">
        <f t="shared" si="74"/>
        <v>0.35266136399999998</v>
      </c>
      <c r="AG467" s="52">
        <f t="shared" si="74"/>
        <v>-2.2563510718955557</v>
      </c>
      <c r="AH467" s="52">
        <f t="shared" si="74"/>
        <v>-2.2563510718955557</v>
      </c>
      <c r="AI467" s="52">
        <f t="shared" si="74"/>
        <v>-2.2563510718955557</v>
      </c>
      <c r="AJ467" s="52">
        <f t="shared" si="74"/>
        <v>-2.2563510718955557</v>
      </c>
      <c r="AK467" s="52">
        <f t="shared" si="74"/>
        <v>-2.2563510718955557</v>
      </c>
      <c r="AL467" s="52">
        <f t="shared" si="74"/>
        <v>-2.2563510718955557</v>
      </c>
      <c r="AM467" s="52">
        <f t="shared" si="74"/>
        <v>-2.2563510718955557</v>
      </c>
      <c r="AN467" s="52">
        <f t="shared" si="74"/>
        <v>-2.2563510718955557</v>
      </c>
      <c r="AO467" s="52">
        <f t="shared" si="74"/>
        <v>-2.2563510718955557</v>
      </c>
      <c r="AP467" s="52">
        <f t="shared" si="74"/>
        <v>-2.2563510718955557</v>
      </c>
      <c r="AQ467" s="52">
        <f t="shared" si="74"/>
        <v>-2.2563510718955557</v>
      </c>
      <c r="AR467" s="52">
        <f t="shared" si="74"/>
        <v>-2.2563510718955557</v>
      </c>
      <c r="AS467" s="52">
        <f t="shared" si="74"/>
        <v>-2.2563510718955557</v>
      </c>
      <c r="AT467" s="52">
        <f t="shared" si="74"/>
        <v>-2.2563510718955557</v>
      </c>
      <c r="AU467" s="52">
        <f t="shared" si="74"/>
        <v>-2.2563510718955557</v>
      </c>
      <c r="AV467" s="52">
        <f t="shared" si="74"/>
        <v>-2.2563510718955557</v>
      </c>
      <c r="AW467" s="52">
        <f t="shared" si="74"/>
        <v>-2.2563510718955557</v>
      </c>
      <c r="AX467" s="52">
        <f t="shared" si="74"/>
        <v>-2.2563510718955557</v>
      </c>
      <c r="AY467" s="52">
        <f t="shared" si="74"/>
        <v>-2.2563510718955557</v>
      </c>
      <c r="AZ467" s="52">
        <f t="shared" si="74"/>
        <v>-2.2563510718955557</v>
      </c>
      <c r="BA467" s="52">
        <f t="shared" si="74"/>
        <v>-2.2563510718955557</v>
      </c>
      <c r="BB467" s="52">
        <f t="shared" si="74"/>
        <v>-2.2563510718955557</v>
      </c>
      <c r="BC467" s="52">
        <f t="shared" si="74"/>
        <v>-2.2563510718955557</v>
      </c>
      <c r="BD467" s="52">
        <f t="shared" si="74"/>
        <v>-2.2563510718955557</v>
      </c>
      <c r="BE467" s="52">
        <f t="shared" si="74"/>
        <v>-2.2563510718955557</v>
      </c>
      <c r="BF467" s="52">
        <f t="shared" si="74"/>
        <v>-2.2563510718955557</v>
      </c>
      <c r="BG467" s="52">
        <f t="shared" si="74"/>
        <v>-2.2563510718955557</v>
      </c>
      <c r="BH467" s="52">
        <f t="shared" si="74"/>
        <v>-2.2563510718955557</v>
      </c>
      <c r="BI467" s="52">
        <f t="shared" si="74"/>
        <v>-2.2563510718955557</v>
      </c>
      <c r="BJ467" s="52">
        <f t="shared" si="74"/>
        <v>-2.2563510718955557</v>
      </c>
      <c r="BK467" s="52">
        <f t="shared" si="74"/>
        <v>-2.2563510718955557</v>
      </c>
      <c r="BL467" s="52">
        <f t="shared" si="74"/>
        <v>-2.2563510718955557</v>
      </c>
      <c r="BM467" s="52">
        <f t="shared" si="74"/>
        <v>-2.2563510718955557</v>
      </c>
      <c r="BN467" s="52">
        <f t="shared" si="74"/>
        <v>-2.2563510718955557</v>
      </c>
      <c r="BO467" s="52">
        <f t="shared" si="74"/>
        <v>-2.2563510718955557</v>
      </c>
      <c r="BP467" s="52">
        <f t="shared" ref="BP467:BY467" si="75">BP468+BP469</f>
        <v>-2.2563510718955557</v>
      </c>
      <c r="BQ467" s="52">
        <f t="shared" si="75"/>
        <v>-2.2563510718955557</v>
      </c>
      <c r="BR467" s="52">
        <f t="shared" si="75"/>
        <v>-2.2563510718955557</v>
      </c>
      <c r="BS467" s="52">
        <f t="shared" si="75"/>
        <v>-2.2563510718955557</v>
      </c>
      <c r="BT467" s="52">
        <f t="shared" si="75"/>
        <v>-2.2563510718955557</v>
      </c>
      <c r="BU467" s="52">
        <f t="shared" si="75"/>
        <v>-2.2563510718955557</v>
      </c>
      <c r="BV467" s="52">
        <f t="shared" si="75"/>
        <v>-2.2563510718955557</v>
      </c>
      <c r="BW467" s="52">
        <f t="shared" si="75"/>
        <v>-2.2563510718955557</v>
      </c>
      <c r="BX467" s="52">
        <f t="shared" si="75"/>
        <v>-2.2563510718955557</v>
      </c>
      <c r="BY467" s="52">
        <f t="shared" si="75"/>
        <v>-2.2563510718955557</v>
      </c>
    </row>
    <row r="468" spans="2:77">
      <c r="B468" s="3" t="s">
        <v>114</v>
      </c>
      <c r="C468" s="10">
        <f>C215</f>
        <v>6.4487777200000007</v>
      </c>
      <c r="D468" s="56">
        <f>D215/19</f>
        <v>2.8250755089999999</v>
      </c>
      <c r="E468" s="56">
        <f>D468</f>
        <v>2.8250755089999999</v>
      </c>
      <c r="F468" s="56">
        <f t="shared" ref="F468:U468" si="76">E468</f>
        <v>2.8250755089999999</v>
      </c>
      <c r="G468" s="56">
        <f t="shared" si="76"/>
        <v>2.8250755089999999</v>
      </c>
      <c r="H468" s="56">
        <f t="shared" si="76"/>
        <v>2.8250755089999999</v>
      </c>
      <c r="I468" s="56">
        <f t="shared" si="76"/>
        <v>2.8250755089999999</v>
      </c>
      <c r="J468" s="56">
        <f t="shared" si="76"/>
        <v>2.8250755089999999</v>
      </c>
      <c r="K468" s="56">
        <f t="shared" si="76"/>
        <v>2.8250755089999999</v>
      </c>
      <c r="L468" s="56">
        <f t="shared" si="76"/>
        <v>2.8250755089999999</v>
      </c>
      <c r="M468" s="56">
        <f t="shared" si="76"/>
        <v>2.8250755089999999</v>
      </c>
      <c r="N468" s="56">
        <f t="shared" si="76"/>
        <v>2.8250755089999999</v>
      </c>
      <c r="O468" s="56">
        <f t="shared" si="76"/>
        <v>2.8250755089999999</v>
      </c>
      <c r="P468" s="56">
        <f t="shared" si="76"/>
        <v>2.8250755089999999</v>
      </c>
      <c r="Q468" s="56">
        <f t="shared" si="76"/>
        <v>2.8250755089999999</v>
      </c>
      <c r="R468" s="56">
        <f t="shared" si="76"/>
        <v>2.8250755089999999</v>
      </c>
      <c r="S468" s="56">
        <f t="shared" si="76"/>
        <v>2.8250755089999999</v>
      </c>
      <c r="T468" s="56">
        <f t="shared" si="76"/>
        <v>2.8250755089999999</v>
      </c>
      <c r="U468" s="56">
        <f t="shared" si="76"/>
        <v>2.8250755089999999</v>
      </c>
      <c r="V468" s="56">
        <f t="shared" ref="F468:V469" si="77">U468</f>
        <v>2.8250755089999999</v>
      </c>
      <c r="W468" s="145">
        <f>E215/10</f>
        <v>0.35266136399999998</v>
      </c>
      <c r="X468" s="145">
        <f>W468</f>
        <v>0.35266136399999998</v>
      </c>
      <c r="Y468" s="145">
        <f t="shared" ref="Y468:AF468" si="78">X468</f>
        <v>0.35266136399999998</v>
      </c>
      <c r="Z468" s="145">
        <f t="shared" si="78"/>
        <v>0.35266136399999998</v>
      </c>
      <c r="AA468" s="145">
        <f t="shared" si="78"/>
        <v>0.35266136399999998</v>
      </c>
      <c r="AB468" s="145">
        <f t="shared" si="78"/>
        <v>0.35266136399999998</v>
      </c>
      <c r="AC468" s="145">
        <f t="shared" si="78"/>
        <v>0.35266136399999998</v>
      </c>
      <c r="AD468" s="145">
        <f t="shared" si="78"/>
        <v>0.35266136399999998</v>
      </c>
      <c r="AE468" s="145">
        <f t="shared" si="78"/>
        <v>0.35266136399999998</v>
      </c>
      <c r="AF468" s="145">
        <f t="shared" si="78"/>
        <v>0.35266136399999998</v>
      </c>
      <c r="AG468" s="10">
        <f>F215/45</f>
        <v>-2.2563510718955557</v>
      </c>
      <c r="AH468" s="10">
        <f>AG468</f>
        <v>-2.2563510718955557</v>
      </c>
      <c r="AI468" s="10">
        <f t="shared" ref="AI468:AX468" si="79">AH468</f>
        <v>-2.2563510718955557</v>
      </c>
      <c r="AJ468" s="10">
        <f t="shared" si="79"/>
        <v>-2.2563510718955557</v>
      </c>
      <c r="AK468" s="10">
        <f t="shared" si="79"/>
        <v>-2.2563510718955557</v>
      </c>
      <c r="AL468" s="10">
        <f t="shared" si="79"/>
        <v>-2.2563510718955557</v>
      </c>
      <c r="AM468" s="10">
        <f t="shared" si="79"/>
        <v>-2.2563510718955557</v>
      </c>
      <c r="AN468" s="10">
        <f t="shared" si="79"/>
        <v>-2.2563510718955557</v>
      </c>
      <c r="AO468" s="10">
        <f t="shared" si="79"/>
        <v>-2.2563510718955557</v>
      </c>
      <c r="AP468" s="10">
        <f t="shared" si="79"/>
        <v>-2.2563510718955557</v>
      </c>
      <c r="AQ468" s="10">
        <f t="shared" si="79"/>
        <v>-2.2563510718955557</v>
      </c>
      <c r="AR468" s="10">
        <f t="shared" si="79"/>
        <v>-2.2563510718955557</v>
      </c>
      <c r="AS468" s="10">
        <f t="shared" si="79"/>
        <v>-2.2563510718955557</v>
      </c>
      <c r="AT468" s="10">
        <f t="shared" si="79"/>
        <v>-2.2563510718955557</v>
      </c>
      <c r="AU468" s="10">
        <f t="shared" si="79"/>
        <v>-2.2563510718955557</v>
      </c>
      <c r="AV468" s="10">
        <f t="shared" si="79"/>
        <v>-2.2563510718955557</v>
      </c>
      <c r="AW468" s="10">
        <f t="shared" si="79"/>
        <v>-2.2563510718955557</v>
      </c>
      <c r="AX468" s="10">
        <f t="shared" si="79"/>
        <v>-2.2563510718955557</v>
      </c>
      <c r="AY468" s="10">
        <f t="shared" ref="AY468:BN468" si="80">AX468</f>
        <v>-2.2563510718955557</v>
      </c>
      <c r="AZ468" s="10">
        <f t="shared" si="80"/>
        <v>-2.2563510718955557</v>
      </c>
      <c r="BA468" s="10">
        <f t="shared" si="80"/>
        <v>-2.2563510718955557</v>
      </c>
      <c r="BB468" s="10">
        <f t="shared" si="80"/>
        <v>-2.2563510718955557</v>
      </c>
      <c r="BC468" s="10">
        <f t="shared" si="80"/>
        <v>-2.2563510718955557</v>
      </c>
      <c r="BD468" s="10">
        <f t="shared" si="80"/>
        <v>-2.2563510718955557</v>
      </c>
      <c r="BE468" s="10">
        <f t="shared" si="80"/>
        <v>-2.2563510718955557</v>
      </c>
      <c r="BF468" s="10">
        <f t="shared" si="80"/>
        <v>-2.2563510718955557</v>
      </c>
      <c r="BG468" s="10">
        <f t="shared" si="80"/>
        <v>-2.2563510718955557</v>
      </c>
      <c r="BH468" s="10">
        <f t="shared" si="80"/>
        <v>-2.2563510718955557</v>
      </c>
      <c r="BI468" s="10">
        <f t="shared" si="80"/>
        <v>-2.2563510718955557</v>
      </c>
      <c r="BJ468" s="10">
        <f t="shared" si="80"/>
        <v>-2.2563510718955557</v>
      </c>
      <c r="BK468" s="10">
        <f t="shared" si="80"/>
        <v>-2.2563510718955557</v>
      </c>
      <c r="BL468" s="10">
        <f t="shared" si="80"/>
        <v>-2.2563510718955557</v>
      </c>
      <c r="BM468" s="10">
        <f t="shared" si="80"/>
        <v>-2.2563510718955557</v>
      </c>
      <c r="BN468" s="10">
        <f t="shared" si="80"/>
        <v>-2.2563510718955557</v>
      </c>
      <c r="BO468" s="10">
        <f t="shared" ref="BO468:BY469" si="81">BN468</f>
        <v>-2.2563510718955557</v>
      </c>
      <c r="BP468" s="10">
        <f t="shared" si="81"/>
        <v>-2.2563510718955557</v>
      </c>
      <c r="BQ468" s="10">
        <f t="shared" si="81"/>
        <v>-2.2563510718955557</v>
      </c>
      <c r="BR468" s="10">
        <f t="shared" si="81"/>
        <v>-2.2563510718955557</v>
      </c>
      <c r="BS468" s="10">
        <f t="shared" si="81"/>
        <v>-2.2563510718955557</v>
      </c>
      <c r="BT468" s="10">
        <f t="shared" si="81"/>
        <v>-2.2563510718955557</v>
      </c>
      <c r="BU468" s="10">
        <f t="shared" si="81"/>
        <v>-2.2563510718955557</v>
      </c>
      <c r="BV468" s="10">
        <f t="shared" si="81"/>
        <v>-2.2563510718955557</v>
      </c>
      <c r="BW468" s="10">
        <f t="shared" si="81"/>
        <v>-2.2563510718955557</v>
      </c>
      <c r="BX468" s="10">
        <f t="shared" si="81"/>
        <v>-2.2563510718955557</v>
      </c>
      <c r="BY468" s="10">
        <f t="shared" si="81"/>
        <v>-2.2563510718955557</v>
      </c>
    </row>
    <row r="469" spans="2:77">
      <c r="B469" s="96" t="s">
        <v>102</v>
      </c>
      <c r="C469" s="10">
        <f>C221</f>
        <v>4811.5872713625595</v>
      </c>
      <c r="D469" s="10">
        <v>0</v>
      </c>
      <c r="E469" s="10">
        <f>D469</f>
        <v>0</v>
      </c>
      <c r="F469" s="10">
        <f t="shared" si="77"/>
        <v>0</v>
      </c>
      <c r="G469" s="10">
        <f t="shared" si="77"/>
        <v>0</v>
      </c>
      <c r="H469" s="10">
        <f t="shared" si="77"/>
        <v>0</v>
      </c>
      <c r="I469" s="10">
        <f t="shared" si="77"/>
        <v>0</v>
      </c>
      <c r="J469" s="10">
        <f t="shared" si="77"/>
        <v>0</v>
      </c>
      <c r="K469" s="10">
        <f t="shared" si="77"/>
        <v>0</v>
      </c>
      <c r="L469" s="10">
        <f t="shared" si="77"/>
        <v>0</v>
      </c>
      <c r="M469" s="10">
        <f t="shared" si="77"/>
        <v>0</v>
      </c>
      <c r="N469" s="10">
        <f t="shared" si="77"/>
        <v>0</v>
      </c>
      <c r="O469" s="10">
        <f t="shared" si="77"/>
        <v>0</v>
      </c>
      <c r="P469" s="10">
        <f t="shared" si="77"/>
        <v>0</v>
      </c>
      <c r="Q469" s="10">
        <f t="shared" si="77"/>
        <v>0</v>
      </c>
      <c r="R469" s="10">
        <f t="shared" si="77"/>
        <v>0</v>
      </c>
      <c r="S469" s="10">
        <f t="shared" si="77"/>
        <v>0</v>
      </c>
      <c r="T469" s="10">
        <f t="shared" si="77"/>
        <v>0</v>
      </c>
      <c r="U469" s="10">
        <f t="shared" si="77"/>
        <v>0</v>
      </c>
      <c r="V469" s="10">
        <f t="shared" si="77"/>
        <v>0</v>
      </c>
      <c r="W469" s="10">
        <f t="shared" ref="W469:BQ469" si="82">V469</f>
        <v>0</v>
      </c>
      <c r="X469" s="10">
        <f t="shared" si="82"/>
        <v>0</v>
      </c>
      <c r="Y469" s="10">
        <f t="shared" si="82"/>
        <v>0</v>
      </c>
      <c r="Z469" s="10">
        <f t="shared" si="82"/>
        <v>0</v>
      </c>
      <c r="AA469" s="10">
        <f t="shared" si="82"/>
        <v>0</v>
      </c>
      <c r="AB469" s="10">
        <f t="shared" si="82"/>
        <v>0</v>
      </c>
      <c r="AC469" s="10">
        <f t="shared" si="82"/>
        <v>0</v>
      </c>
      <c r="AD469" s="10">
        <f t="shared" si="82"/>
        <v>0</v>
      </c>
      <c r="AE469" s="10">
        <f t="shared" si="82"/>
        <v>0</v>
      </c>
      <c r="AF469" s="10">
        <f t="shared" si="82"/>
        <v>0</v>
      </c>
      <c r="AG469" s="10">
        <f t="shared" si="82"/>
        <v>0</v>
      </c>
      <c r="AH469" s="10">
        <f t="shared" si="82"/>
        <v>0</v>
      </c>
      <c r="AI469" s="10">
        <f t="shared" si="82"/>
        <v>0</v>
      </c>
      <c r="AJ469" s="10">
        <f t="shared" si="82"/>
        <v>0</v>
      </c>
      <c r="AK469" s="10">
        <f t="shared" si="82"/>
        <v>0</v>
      </c>
      <c r="AL469" s="10">
        <f t="shared" si="82"/>
        <v>0</v>
      </c>
      <c r="AM469" s="10">
        <f t="shared" si="82"/>
        <v>0</v>
      </c>
      <c r="AN469" s="10">
        <f t="shared" si="82"/>
        <v>0</v>
      </c>
      <c r="AO469" s="10">
        <f t="shared" si="82"/>
        <v>0</v>
      </c>
      <c r="AP469" s="10">
        <f t="shared" si="82"/>
        <v>0</v>
      </c>
      <c r="AQ469" s="10">
        <f t="shared" si="82"/>
        <v>0</v>
      </c>
      <c r="AR469" s="10">
        <f t="shared" si="82"/>
        <v>0</v>
      </c>
      <c r="AS469" s="10">
        <f t="shared" si="82"/>
        <v>0</v>
      </c>
      <c r="AT469" s="10">
        <f t="shared" si="82"/>
        <v>0</v>
      </c>
      <c r="AU469" s="10">
        <f t="shared" si="82"/>
        <v>0</v>
      </c>
      <c r="AV469" s="10">
        <f t="shared" si="82"/>
        <v>0</v>
      </c>
      <c r="AW469" s="10">
        <f t="shared" si="82"/>
        <v>0</v>
      </c>
      <c r="AX469" s="10">
        <f t="shared" si="82"/>
        <v>0</v>
      </c>
      <c r="AY469" s="10">
        <f t="shared" si="82"/>
        <v>0</v>
      </c>
      <c r="AZ469" s="10">
        <f t="shared" si="82"/>
        <v>0</v>
      </c>
      <c r="BA469" s="10">
        <f t="shared" si="82"/>
        <v>0</v>
      </c>
      <c r="BB469" s="10">
        <f t="shared" si="82"/>
        <v>0</v>
      </c>
      <c r="BC469" s="10">
        <f t="shared" si="82"/>
        <v>0</v>
      </c>
      <c r="BD469" s="10">
        <f t="shared" si="82"/>
        <v>0</v>
      </c>
      <c r="BE469" s="10">
        <f t="shared" si="82"/>
        <v>0</v>
      </c>
      <c r="BF469" s="10">
        <f t="shared" si="82"/>
        <v>0</v>
      </c>
      <c r="BG469" s="10">
        <f t="shared" si="82"/>
        <v>0</v>
      </c>
      <c r="BH469" s="10">
        <f t="shared" si="82"/>
        <v>0</v>
      </c>
      <c r="BI469" s="10">
        <f t="shared" si="82"/>
        <v>0</v>
      </c>
      <c r="BJ469" s="10">
        <f t="shared" si="82"/>
        <v>0</v>
      </c>
      <c r="BK469" s="10">
        <f t="shared" si="82"/>
        <v>0</v>
      </c>
      <c r="BL469" s="10">
        <f t="shared" si="82"/>
        <v>0</v>
      </c>
      <c r="BM469" s="10">
        <f t="shared" si="82"/>
        <v>0</v>
      </c>
      <c r="BN469" s="10">
        <f t="shared" si="82"/>
        <v>0</v>
      </c>
      <c r="BO469" s="10">
        <f t="shared" si="82"/>
        <v>0</v>
      </c>
      <c r="BP469" s="10">
        <f t="shared" si="82"/>
        <v>0</v>
      </c>
      <c r="BQ469" s="10">
        <f t="shared" si="82"/>
        <v>0</v>
      </c>
      <c r="BR469" s="10">
        <f t="shared" si="81"/>
        <v>0</v>
      </c>
      <c r="BS469" s="10">
        <f t="shared" si="81"/>
        <v>0</v>
      </c>
      <c r="BT469" s="10">
        <f t="shared" si="81"/>
        <v>0</v>
      </c>
      <c r="BU469" s="10">
        <f t="shared" si="81"/>
        <v>0</v>
      </c>
      <c r="BV469" s="10">
        <f t="shared" si="81"/>
        <v>0</v>
      </c>
      <c r="BW469" s="10">
        <f t="shared" si="81"/>
        <v>0</v>
      </c>
      <c r="BX469" s="10">
        <f t="shared" si="81"/>
        <v>0</v>
      </c>
      <c r="BY469" s="10">
        <f t="shared" si="81"/>
        <v>0</v>
      </c>
    </row>
    <row r="470" spans="2:77">
      <c r="B470" s="53" t="s">
        <v>111</v>
      </c>
      <c r="C470" s="54">
        <f t="shared" ref="C470:BN470" si="83">C467*C438</f>
        <v>4581952.2826775145</v>
      </c>
      <c r="D470" s="54">
        <f t="shared" si="83"/>
        <v>2740.3232437299998</v>
      </c>
      <c r="E470" s="54">
        <f t="shared" si="83"/>
        <v>2796.8247539099998</v>
      </c>
      <c r="F470" s="54">
        <f t="shared" si="83"/>
        <v>2867.4516416349998</v>
      </c>
      <c r="G470" s="54">
        <f t="shared" si="83"/>
        <v>2938.0785293599997</v>
      </c>
      <c r="H470" s="54">
        <f t="shared" si="83"/>
        <v>3011.530492594</v>
      </c>
      <c r="I470" s="54">
        <f t="shared" si="83"/>
        <v>3189.5102496609998</v>
      </c>
      <c r="J470" s="54">
        <f t="shared" si="83"/>
        <v>3378.7903087639997</v>
      </c>
      <c r="K470" s="54">
        <f t="shared" si="83"/>
        <v>3576.5455943940001</v>
      </c>
      <c r="L470" s="54">
        <f t="shared" si="83"/>
        <v>3788.426257569</v>
      </c>
      <c r="M470" s="54">
        <f t="shared" si="83"/>
        <v>4011.60722278</v>
      </c>
      <c r="N470" s="54">
        <f t="shared" si="83"/>
        <v>4246.0884900270003</v>
      </c>
      <c r="O470" s="54">
        <f t="shared" si="83"/>
        <v>4497.5202103279998</v>
      </c>
      <c r="P470" s="54">
        <f t="shared" si="83"/>
        <v>4763.0773081739999</v>
      </c>
      <c r="Q470" s="54">
        <f t="shared" si="83"/>
        <v>5042.7597835649995</v>
      </c>
      <c r="R470" s="54">
        <f t="shared" si="83"/>
        <v>5339.3927120099997</v>
      </c>
      <c r="S470" s="54">
        <f t="shared" si="83"/>
        <v>5410.0195997350002</v>
      </c>
      <c r="T470" s="54">
        <f t="shared" si="83"/>
        <v>5477.8214119510003</v>
      </c>
      <c r="U470" s="54">
        <f t="shared" si="83"/>
        <v>5551.2733751850001</v>
      </c>
      <c r="V470" s="54">
        <f t="shared" si="83"/>
        <v>5621.9002629099996</v>
      </c>
      <c r="W470" s="54">
        <f t="shared" si="83"/>
        <v>710.96530982399997</v>
      </c>
      <c r="X470" s="54">
        <f t="shared" si="83"/>
        <v>720.1345052879999</v>
      </c>
      <c r="Y470" s="54">
        <f t="shared" si="83"/>
        <v>729.30370075199994</v>
      </c>
      <c r="Z470" s="54">
        <f t="shared" si="83"/>
        <v>738.82555758000001</v>
      </c>
      <c r="AA470" s="54">
        <f t="shared" si="83"/>
        <v>748.34741440799996</v>
      </c>
      <c r="AB470" s="54">
        <f t="shared" si="83"/>
        <v>758.22193259999995</v>
      </c>
      <c r="AC470" s="54">
        <f t="shared" si="83"/>
        <v>788.55080990399995</v>
      </c>
      <c r="AD470" s="54">
        <f t="shared" si="83"/>
        <v>819.93767129999992</v>
      </c>
      <c r="AE470" s="54">
        <f t="shared" si="83"/>
        <v>852.73517815199989</v>
      </c>
      <c r="AF470" s="54">
        <f t="shared" si="83"/>
        <v>886.94333045999997</v>
      </c>
      <c r="AG470" s="54">
        <f t="shared" si="83"/>
        <v>-5902.614404078774</v>
      </c>
      <c r="AH470" s="54">
        <f t="shared" si="83"/>
        <v>-6137.2749155559113</v>
      </c>
      <c r="AI470" s="54">
        <f t="shared" si="83"/>
        <v>-6383.2171823925273</v>
      </c>
      <c r="AJ470" s="54">
        <f t="shared" si="83"/>
        <v>-6638.1848535167246</v>
      </c>
      <c r="AK470" s="54">
        <f t="shared" si="83"/>
        <v>-6904.4342800004006</v>
      </c>
      <c r="AL470" s="54">
        <f t="shared" si="83"/>
        <v>-7181.9654618435543</v>
      </c>
      <c r="AM470" s="54">
        <f t="shared" si="83"/>
        <v>-7468.5220479742893</v>
      </c>
      <c r="AN470" s="54">
        <f t="shared" si="83"/>
        <v>-7766.360389464503</v>
      </c>
      <c r="AO470" s="54">
        <f t="shared" si="83"/>
        <v>-8077.7368373860891</v>
      </c>
      <c r="AP470" s="54">
        <f t="shared" si="83"/>
        <v>-8319.166402078914</v>
      </c>
      <c r="AQ470" s="54">
        <f t="shared" si="83"/>
        <v>-8569.6213710593202</v>
      </c>
      <c r="AR470" s="54">
        <f t="shared" si="83"/>
        <v>-8826.8453932554148</v>
      </c>
      <c r="AS470" s="54">
        <f t="shared" si="83"/>
        <v>-9090.8384686671943</v>
      </c>
      <c r="AT470" s="54">
        <f t="shared" si="83"/>
        <v>-9363.856948366556</v>
      </c>
      <c r="AU470" s="54">
        <f t="shared" si="83"/>
        <v>-9645.9008323534999</v>
      </c>
      <c r="AV470" s="54">
        <f t="shared" si="83"/>
        <v>-9934.7137695561323</v>
      </c>
      <c r="AW470" s="54">
        <f t="shared" si="83"/>
        <v>-10232.552111046345</v>
      </c>
      <c r="AX470" s="54">
        <f t="shared" si="83"/>
        <v>-10539.41585682414</v>
      </c>
      <c r="AY470" s="54">
        <f t="shared" si="83"/>
        <v>-10855.305006889519</v>
      </c>
      <c r="AZ470" s="54">
        <f t="shared" si="83"/>
        <v>-11180.219561242478</v>
      </c>
      <c r="BA470" s="54">
        <f t="shared" si="83"/>
        <v>-11516.415870954916</v>
      </c>
      <c r="BB470" s="54">
        <f t="shared" si="83"/>
        <v>-11861.637584954937</v>
      </c>
      <c r="BC470" s="54">
        <f t="shared" si="83"/>
        <v>-12218.141054314434</v>
      </c>
      <c r="BD470" s="54">
        <f t="shared" si="83"/>
        <v>-12583.669927961515</v>
      </c>
      <c r="BE470" s="54">
        <f t="shared" si="83"/>
        <v>-12962.736908039968</v>
      </c>
      <c r="BF470" s="54">
        <f t="shared" si="83"/>
        <v>-13350.829292406002</v>
      </c>
      <c r="BG470" s="54">
        <f t="shared" si="83"/>
        <v>-13752.459783203412</v>
      </c>
      <c r="BH470" s="54">
        <f t="shared" si="83"/>
        <v>-14163.115678288403</v>
      </c>
      <c r="BI470" s="54">
        <f t="shared" si="83"/>
        <v>-14589.566030876664</v>
      </c>
      <c r="BJ470" s="54">
        <f t="shared" si="83"/>
        <v>-15027.298138824401</v>
      </c>
      <c r="BK470" s="54">
        <f t="shared" si="83"/>
        <v>-15476.312002131617</v>
      </c>
      <c r="BL470" s="54">
        <f t="shared" si="83"/>
        <v>-15941.120322942101</v>
      </c>
      <c r="BM470" s="54">
        <f t="shared" si="83"/>
        <v>-16419.466750183958</v>
      </c>
      <c r="BN470" s="54">
        <f t="shared" si="83"/>
        <v>-16913.607634929085</v>
      </c>
      <c r="BO470" s="54">
        <f t="shared" ref="BO470:BY470" si="84">BO467*BO438</f>
        <v>-17419.030275033689</v>
      </c>
      <c r="BP470" s="54">
        <f t="shared" si="84"/>
        <v>-17942.50372371346</v>
      </c>
      <c r="BQ470" s="54">
        <f t="shared" si="84"/>
        <v>-18481.771629896495</v>
      </c>
      <c r="BR470" s="54">
        <f t="shared" si="84"/>
        <v>-19034.577642510907</v>
      </c>
      <c r="BS470" s="54">
        <f t="shared" si="84"/>
        <v>-19605.434463700483</v>
      </c>
      <c r="BT470" s="54">
        <f t="shared" si="84"/>
        <v>-19998.039550210309</v>
      </c>
      <c r="BU470" s="54">
        <f t="shared" si="84"/>
        <v>-20397.413689935824</v>
      </c>
      <c r="BV470" s="54">
        <f t="shared" si="84"/>
        <v>-20805.81323394892</v>
      </c>
      <c r="BW470" s="54">
        <f t="shared" si="84"/>
        <v>-21223.238182249595</v>
      </c>
      <c r="BX470" s="54">
        <f t="shared" si="84"/>
        <v>-21647.432183765963</v>
      </c>
      <c r="BY470" s="54">
        <f t="shared" si="84"/>
        <v>-22080.651589569909</v>
      </c>
    </row>
    <row r="472" spans="2:77" s="41" customFormat="1">
      <c r="B472" s="51" t="s">
        <v>262</v>
      </c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2"/>
      <c r="BG472" s="52"/>
      <c r="BH472" s="52"/>
      <c r="BI472" s="52"/>
      <c r="BJ472" s="52"/>
      <c r="BK472" s="52"/>
      <c r="BL472" s="52"/>
      <c r="BM472" s="52"/>
      <c r="BN472" s="52"/>
      <c r="BO472" s="52"/>
      <c r="BP472" s="52"/>
      <c r="BQ472" s="52"/>
      <c r="BR472" s="52"/>
      <c r="BS472" s="52"/>
      <c r="BT472" s="52"/>
      <c r="BU472" s="52"/>
      <c r="BV472" s="52"/>
      <c r="BW472" s="52"/>
      <c r="BX472" s="52"/>
      <c r="BY472" s="52"/>
    </row>
    <row r="473" spans="2:77">
      <c r="B473" s="3" t="s">
        <v>264</v>
      </c>
      <c r="C473" s="10">
        <f>C161</f>
        <v>326.20070000000004</v>
      </c>
      <c r="D473" s="56">
        <f>D161/19</f>
        <v>36.456800000000001</v>
      </c>
      <c r="E473" s="56">
        <f>D473</f>
        <v>36.456800000000001</v>
      </c>
      <c r="F473" s="56">
        <f t="shared" ref="F473:V473" si="85">E473</f>
        <v>36.456800000000001</v>
      </c>
      <c r="G473" s="56">
        <f t="shared" si="85"/>
        <v>36.456800000000001</v>
      </c>
      <c r="H473" s="56">
        <f t="shared" si="85"/>
        <v>36.456800000000001</v>
      </c>
      <c r="I473" s="56">
        <f t="shared" si="85"/>
        <v>36.456800000000001</v>
      </c>
      <c r="J473" s="56">
        <f t="shared" si="85"/>
        <v>36.456800000000001</v>
      </c>
      <c r="K473" s="56">
        <f t="shared" si="85"/>
        <v>36.456800000000001</v>
      </c>
      <c r="L473" s="56">
        <f t="shared" si="85"/>
        <v>36.456800000000001</v>
      </c>
      <c r="M473" s="56">
        <f t="shared" si="85"/>
        <v>36.456800000000001</v>
      </c>
      <c r="N473" s="56">
        <f t="shared" si="85"/>
        <v>36.456800000000001</v>
      </c>
      <c r="O473" s="56">
        <f t="shared" si="85"/>
        <v>36.456800000000001</v>
      </c>
      <c r="P473" s="56">
        <f t="shared" si="85"/>
        <v>36.456800000000001</v>
      </c>
      <c r="Q473" s="56">
        <f t="shared" si="85"/>
        <v>36.456800000000001</v>
      </c>
      <c r="R473" s="56">
        <f t="shared" si="85"/>
        <v>36.456800000000001</v>
      </c>
      <c r="S473" s="56">
        <f t="shared" si="85"/>
        <v>36.456800000000001</v>
      </c>
      <c r="T473" s="56">
        <f t="shared" si="85"/>
        <v>36.456800000000001</v>
      </c>
      <c r="U473" s="56">
        <f t="shared" si="85"/>
        <v>36.456800000000001</v>
      </c>
      <c r="V473" s="56">
        <f t="shared" si="85"/>
        <v>36.456800000000001</v>
      </c>
      <c r="W473" s="57">
        <f>E161/10</f>
        <v>-3.422800000000001</v>
      </c>
      <c r="X473" s="57">
        <f>W473</f>
        <v>-3.422800000000001</v>
      </c>
      <c r="Y473" s="57">
        <f t="shared" ref="Y473:AF473" si="86">X473</f>
        <v>-3.422800000000001</v>
      </c>
      <c r="Z473" s="57">
        <f t="shared" si="86"/>
        <v>-3.422800000000001</v>
      </c>
      <c r="AA473" s="57">
        <f t="shared" si="86"/>
        <v>-3.422800000000001</v>
      </c>
      <c r="AB473" s="57">
        <f t="shared" si="86"/>
        <v>-3.422800000000001</v>
      </c>
      <c r="AC473" s="57">
        <f t="shared" si="86"/>
        <v>-3.422800000000001</v>
      </c>
      <c r="AD473" s="57">
        <f t="shared" si="86"/>
        <v>-3.422800000000001</v>
      </c>
      <c r="AE473" s="57">
        <f t="shared" si="86"/>
        <v>-3.422800000000001</v>
      </c>
      <c r="AF473" s="57">
        <f t="shared" si="86"/>
        <v>-3.422800000000001</v>
      </c>
      <c r="AG473" s="10">
        <f>F161/45</f>
        <v>-3.4228000000000001</v>
      </c>
      <c r="AH473" s="10">
        <f>AG473</f>
        <v>-3.4228000000000001</v>
      </c>
      <c r="AI473" s="10">
        <f t="shared" ref="AI473:BY473" si="87">AH473</f>
        <v>-3.4228000000000001</v>
      </c>
      <c r="AJ473" s="10">
        <f t="shared" si="87"/>
        <v>-3.4228000000000001</v>
      </c>
      <c r="AK473" s="10">
        <f t="shared" si="87"/>
        <v>-3.4228000000000001</v>
      </c>
      <c r="AL473" s="10">
        <f t="shared" si="87"/>
        <v>-3.4228000000000001</v>
      </c>
      <c r="AM473" s="10">
        <f t="shared" si="87"/>
        <v>-3.4228000000000001</v>
      </c>
      <c r="AN473" s="10">
        <f t="shared" si="87"/>
        <v>-3.4228000000000001</v>
      </c>
      <c r="AO473" s="10">
        <f t="shared" si="87"/>
        <v>-3.4228000000000001</v>
      </c>
      <c r="AP473" s="10">
        <f t="shared" si="87"/>
        <v>-3.4228000000000001</v>
      </c>
      <c r="AQ473" s="10">
        <f t="shared" si="87"/>
        <v>-3.4228000000000001</v>
      </c>
      <c r="AR473" s="10">
        <f t="shared" si="87"/>
        <v>-3.4228000000000001</v>
      </c>
      <c r="AS473" s="10">
        <f t="shared" si="87"/>
        <v>-3.4228000000000001</v>
      </c>
      <c r="AT473" s="10">
        <f t="shared" si="87"/>
        <v>-3.4228000000000001</v>
      </c>
      <c r="AU473" s="10">
        <f t="shared" si="87"/>
        <v>-3.4228000000000001</v>
      </c>
      <c r="AV473" s="10">
        <f t="shared" si="87"/>
        <v>-3.4228000000000001</v>
      </c>
      <c r="AW473" s="10">
        <f t="shared" si="87"/>
        <v>-3.4228000000000001</v>
      </c>
      <c r="AX473" s="10">
        <f t="shared" si="87"/>
        <v>-3.4228000000000001</v>
      </c>
      <c r="AY473" s="10">
        <f t="shared" si="87"/>
        <v>-3.4228000000000001</v>
      </c>
      <c r="AZ473" s="10">
        <f t="shared" si="87"/>
        <v>-3.4228000000000001</v>
      </c>
      <c r="BA473" s="10">
        <f t="shared" si="87"/>
        <v>-3.4228000000000001</v>
      </c>
      <c r="BB473" s="10">
        <f t="shared" si="87"/>
        <v>-3.4228000000000001</v>
      </c>
      <c r="BC473" s="10">
        <f t="shared" si="87"/>
        <v>-3.4228000000000001</v>
      </c>
      <c r="BD473" s="10">
        <f t="shared" si="87"/>
        <v>-3.4228000000000001</v>
      </c>
      <c r="BE473" s="10">
        <f t="shared" si="87"/>
        <v>-3.4228000000000001</v>
      </c>
      <c r="BF473" s="10">
        <f t="shared" si="87"/>
        <v>-3.4228000000000001</v>
      </c>
      <c r="BG473" s="10">
        <f t="shared" si="87"/>
        <v>-3.4228000000000001</v>
      </c>
      <c r="BH473" s="10">
        <f t="shared" si="87"/>
        <v>-3.4228000000000001</v>
      </c>
      <c r="BI473" s="10">
        <f t="shared" si="87"/>
        <v>-3.4228000000000001</v>
      </c>
      <c r="BJ473" s="10">
        <f t="shared" si="87"/>
        <v>-3.4228000000000001</v>
      </c>
      <c r="BK473" s="10">
        <f t="shared" si="87"/>
        <v>-3.4228000000000001</v>
      </c>
      <c r="BL473" s="10">
        <f t="shared" si="87"/>
        <v>-3.4228000000000001</v>
      </c>
      <c r="BM473" s="10">
        <f t="shared" si="87"/>
        <v>-3.4228000000000001</v>
      </c>
      <c r="BN473" s="10">
        <f t="shared" si="87"/>
        <v>-3.4228000000000001</v>
      </c>
      <c r="BO473" s="10">
        <f t="shared" si="87"/>
        <v>-3.4228000000000001</v>
      </c>
      <c r="BP473" s="10">
        <f t="shared" si="87"/>
        <v>-3.4228000000000001</v>
      </c>
      <c r="BQ473" s="10">
        <f t="shared" si="87"/>
        <v>-3.4228000000000001</v>
      </c>
      <c r="BR473" s="10">
        <f t="shared" si="87"/>
        <v>-3.4228000000000001</v>
      </c>
      <c r="BS473" s="10">
        <f t="shared" si="87"/>
        <v>-3.4228000000000001</v>
      </c>
      <c r="BT473" s="10">
        <f t="shared" si="87"/>
        <v>-3.4228000000000001</v>
      </c>
      <c r="BU473" s="10">
        <f t="shared" si="87"/>
        <v>-3.4228000000000001</v>
      </c>
      <c r="BV473" s="10">
        <f t="shared" si="87"/>
        <v>-3.4228000000000001</v>
      </c>
      <c r="BW473" s="10">
        <f t="shared" si="87"/>
        <v>-3.4228000000000001</v>
      </c>
      <c r="BX473" s="10">
        <f t="shared" si="87"/>
        <v>-3.4228000000000001</v>
      </c>
      <c r="BY473" s="10">
        <f t="shared" si="87"/>
        <v>-3.4228000000000001</v>
      </c>
    </row>
    <row r="474" spans="2:77">
      <c r="B474" s="53" t="s">
        <v>111</v>
      </c>
      <c r="C474" s="54">
        <f t="shared" ref="C474:BN474" si="88">C473*C438</f>
        <v>310216.86570000002</v>
      </c>
      <c r="D474" s="54">
        <f t="shared" si="88"/>
        <v>35363.095999999998</v>
      </c>
      <c r="E474" s="54">
        <f t="shared" si="88"/>
        <v>36092.232000000004</v>
      </c>
      <c r="F474" s="54">
        <f t="shared" si="88"/>
        <v>37003.652000000002</v>
      </c>
      <c r="G474" s="54">
        <f t="shared" si="88"/>
        <v>37915.072</v>
      </c>
      <c r="H474" s="54">
        <f t="shared" si="88"/>
        <v>38862.948799999998</v>
      </c>
      <c r="I474" s="54">
        <f t="shared" si="88"/>
        <v>41159.727200000001</v>
      </c>
      <c r="J474" s="54">
        <f t="shared" si="88"/>
        <v>43602.332800000004</v>
      </c>
      <c r="K474" s="54">
        <f t="shared" si="88"/>
        <v>46154.308799999999</v>
      </c>
      <c r="L474" s="54">
        <f t="shared" si="88"/>
        <v>48888.568800000001</v>
      </c>
      <c r="M474" s="54">
        <f t="shared" si="88"/>
        <v>51768.656000000003</v>
      </c>
      <c r="N474" s="54">
        <f t="shared" si="88"/>
        <v>54794.570400000004</v>
      </c>
      <c r="O474" s="54">
        <f t="shared" si="88"/>
        <v>58039.225600000005</v>
      </c>
      <c r="P474" s="54">
        <f t="shared" si="88"/>
        <v>61466.164799999999</v>
      </c>
      <c r="Q474" s="54">
        <f t="shared" si="88"/>
        <v>65075.387999999999</v>
      </c>
      <c r="R474" s="54">
        <f t="shared" si="88"/>
        <v>68903.351999999999</v>
      </c>
      <c r="S474" s="54">
        <f t="shared" si="88"/>
        <v>69814.771999999997</v>
      </c>
      <c r="T474" s="54">
        <f t="shared" si="88"/>
        <v>70689.735199999996</v>
      </c>
      <c r="U474" s="54">
        <f t="shared" si="88"/>
        <v>71637.612000000008</v>
      </c>
      <c r="V474" s="54">
        <f t="shared" si="88"/>
        <v>72549.032000000007</v>
      </c>
      <c r="W474" s="54">
        <f t="shared" si="88"/>
        <v>-6900.3648000000021</v>
      </c>
      <c r="X474" s="54">
        <f t="shared" si="88"/>
        <v>-6989.3576000000021</v>
      </c>
      <c r="Y474" s="54">
        <f t="shared" si="88"/>
        <v>-7078.3504000000021</v>
      </c>
      <c r="Z474" s="54">
        <f t="shared" si="88"/>
        <v>-7170.7660000000024</v>
      </c>
      <c r="AA474" s="54">
        <f t="shared" si="88"/>
        <v>-7263.1816000000017</v>
      </c>
      <c r="AB474" s="54">
        <f t="shared" si="88"/>
        <v>-7359.0200000000023</v>
      </c>
      <c r="AC474" s="54">
        <f t="shared" si="88"/>
        <v>-7653.3808000000017</v>
      </c>
      <c r="AD474" s="54">
        <f t="shared" si="88"/>
        <v>-7958.010000000002</v>
      </c>
      <c r="AE474" s="54">
        <f t="shared" si="88"/>
        <v>-8276.3304000000026</v>
      </c>
      <c r="AF474" s="54">
        <f t="shared" si="88"/>
        <v>-8608.3420000000024</v>
      </c>
      <c r="AG474" s="54">
        <f t="shared" si="88"/>
        <v>-8954.0447999999997</v>
      </c>
      <c r="AH474" s="54">
        <f t="shared" si="88"/>
        <v>-9310.0159999999996</v>
      </c>
      <c r="AI474" s="54">
        <f t="shared" si="88"/>
        <v>-9683.101200000001</v>
      </c>
      <c r="AJ474" s="54">
        <f t="shared" si="88"/>
        <v>-10069.8776</v>
      </c>
      <c r="AK474" s="54">
        <f t="shared" si="88"/>
        <v>-10473.768</v>
      </c>
      <c r="AL474" s="54">
        <f t="shared" si="88"/>
        <v>-10894.7724</v>
      </c>
      <c r="AM474" s="54">
        <f t="shared" si="88"/>
        <v>-11329.468000000001</v>
      </c>
      <c r="AN474" s="54">
        <f t="shared" si="88"/>
        <v>-11781.277599999999</v>
      </c>
      <c r="AO474" s="54">
        <f t="shared" si="88"/>
        <v>-12253.624</v>
      </c>
      <c r="AP474" s="54">
        <f t="shared" si="88"/>
        <v>-12619.863600000001</v>
      </c>
      <c r="AQ474" s="54">
        <f t="shared" si="88"/>
        <v>-12999.794400000001</v>
      </c>
      <c r="AR474" s="54">
        <f t="shared" si="88"/>
        <v>-13389.9936</v>
      </c>
      <c r="AS474" s="54">
        <f t="shared" si="88"/>
        <v>-13790.4612</v>
      </c>
      <c r="AT474" s="54">
        <f t="shared" si="88"/>
        <v>-14204.62</v>
      </c>
      <c r="AU474" s="54">
        <f t="shared" si="88"/>
        <v>-14632.470000000001</v>
      </c>
      <c r="AV474" s="54">
        <f t="shared" si="88"/>
        <v>-15070.588400000001</v>
      </c>
      <c r="AW474" s="54">
        <f t="shared" si="88"/>
        <v>-15522.398000000001</v>
      </c>
      <c r="AX474" s="54">
        <f t="shared" si="88"/>
        <v>-15987.898800000001</v>
      </c>
      <c r="AY474" s="54">
        <f t="shared" si="88"/>
        <v>-16467.090800000002</v>
      </c>
      <c r="AZ474" s="54">
        <f t="shared" si="88"/>
        <v>-16959.974000000002</v>
      </c>
      <c r="BA474" s="54">
        <f t="shared" si="88"/>
        <v>-17469.9712</v>
      </c>
      <c r="BB474" s="54">
        <f t="shared" si="88"/>
        <v>-17993.659599999999</v>
      </c>
      <c r="BC474" s="54">
        <f t="shared" si="88"/>
        <v>-18534.462</v>
      </c>
      <c r="BD474" s="54">
        <f t="shared" si="88"/>
        <v>-19088.955600000001</v>
      </c>
      <c r="BE474" s="54">
        <f t="shared" si="88"/>
        <v>-19663.986000000001</v>
      </c>
      <c r="BF474" s="54">
        <f t="shared" si="88"/>
        <v>-20252.707600000002</v>
      </c>
      <c r="BG474" s="54">
        <f t="shared" si="88"/>
        <v>-20861.966</v>
      </c>
      <c r="BH474" s="54">
        <f t="shared" si="88"/>
        <v>-21484.9156</v>
      </c>
      <c r="BI474" s="54">
        <f t="shared" si="88"/>
        <v>-22131.824800000002</v>
      </c>
      <c r="BJ474" s="54">
        <f t="shared" si="88"/>
        <v>-22795.848000000002</v>
      </c>
      <c r="BK474" s="54">
        <f t="shared" si="88"/>
        <v>-23476.985199999999</v>
      </c>
      <c r="BL474" s="54">
        <f t="shared" si="88"/>
        <v>-24182.082000000002</v>
      </c>
      <c r="BM474" s="54">
        <f t="shared" si="88"/>
        <v>-24907.7156</v>
      </c>
      <c r="BN474" s="54">
        <f t="shared" si="88"/>
        <v>-25657.308799999999</v>
      </c>
      <c r="BO474" s="54">
        <f t="shared" ref="BO474:BY474" si="89">BO473*BO438</f>
        <v>-26424.016</v>
      </c>
      <c r="BP474" s="54">
        <f t="shared" si="89"/>
        <v>-27218.105599999999</v>
      </c>
      <c r="BQ474" s="54">
        <f t="shared" si="89"/>
        <v>-28036.1548</v>
      </c>
      <c r="BR474" s="54">
        <f t="shared" si="89"/>
        <v>-28874.7408</v>
      </c>
      <c r="BS474" s="54">
        <f t="shared" si="89"/>
        <v>-29740.709200000001</v>
      </c>
      <c r="BT474" s="54">
        <f t="shared" si="89"/>
        <v>-30336.276399999999</v>
      </c>
      <c r="BU474" s="54">
        <f t="shared" si="89"/>
        <v>-30942.112000000001</v>
      </c>
      <c r="BV474" s="54">
        <f t="shared" si="89"/>
        <v>-31561.638800000001</v>
      </c>
      <c r="BW474" s="54">
        <f t="shared" si="89"/>
        <v>-32194.856800000001</v>
      </c>
      <c r="BX474" s="54">
        <f t="shared" si="89"/>
        <v>-32838.343200000003</v>
      </c>
      <c r="BY474" s="54">
        <f t="shared" si="89"/>
        <v>-33495.520799999998</v>
      </c>
    </row>
    <row r="477" spans="2:77">
      <c r="B477" s="15" t="s">
        <v>30</v>
      </c>
      <c r="C477" s="42">
        <v>2025</v>
      </c>
      <c r="D477" s="43">
        <v>2026</v>
      </c>
      <c r="E477" s="43">
        <v>2027</v>
      </c>
      <c r="F477" s="43">
        <v>2028</v>
      </c>
      <c r="G477" s="43">
        <v>2029</v>
      </c>
      <c r="H477" s="43">
        <v>2030</v>
      </c>
      <c r="I477" s="43">
        <v>2031</v>
      </c>
      <c r="J477" s="43">
        <v>2032</v>
      </c>
      <c r="K477" s="43">
        <v>2033</v>
      </c>
      <c r="L477" s="43">
        <v>2034</v>
      </c>
      <c r="M477" s="43">
        <v>2035</v>
      </c>
      <c r="N477" s="43">
        <v>2036</v>
      </c>
      <c r="O477" s="43">
        <v>2037</v>
      </c>
      <c r="P477" s="43">
        <v>2038</v>
      </c>
      <c r="Q477" s="43">
        <v>2039</v>
      </c>
      <c r="R477" s="43">
        <v>2040</v>
      </c>
      <c r="S477" s="43">
        <v>2041</v>
      </c>
      <c r="T477" s="43">
        <v>2042</v>
      </c>
      <c r="U477" s="43">
        <v>2043</v>
      </c>
      <c r="V477" s="43">
        <v>2044</v>
      </c>
      <c r="W477" s="44">
        <v>2045</v>
      </c>
      <c r="X477" s="44">
        <v>2046</v>
      </c>
      <c r="Y477" s="44">
        <v>2047</v>
      </c>
      <c r="Z477" s="44">
        <v>2048</v>
      </c>
      <c r="AA477" s="44">
        <v>2049</v>
      </c>
      <c r="AB477" s="44">
        <v>2050</v>
      </c>
      <c r="AC477" s="44">
        <v>2051</v>
      </c>
      <c r="AD477" s="44">
        <v>2052</v>
      </c>
      <c r="AE477" s="44">
        <v>2053</v>
      </c>
      <c r="AF477" s="44">
        <v>2054</v>
      </c>
      <c r="AG477" s="44">
        <v>2055</v>
      </c>
      <c r="AH477" s="44">
        <v>2056</v>
      </c>
      <c r="AI477" s="44">
        <v>2057</v>
      </c>
      <c r="AJ477" s="44">
        <v>2058</v>
      </c>
      <c r="AK477" s="44">
        <v>2059</v>
      </c>
      <c r="AL477" s="44">
        <v>2060</v>
      </c>
      <c r="AM477" s="44">
        <v>2061</v>
      </c>
      <c r="AN477" s="44">
        <v>2062</v>
      </c>
      <c r="AO477" s="44">
        <v>2063</v>
      </c>
      <c r="AP477" s="44">
        <v>2064</v>
      </c>
      <c r="AQ477" s="44">
        <v>2065</v>
      </c>
      <c r="AR477" s="44">
        <v>2066</v>
      </c>
      <c r="AS477" s="44">
        <v>2067</v>
      </c>
      <c r="AT477" s="44">
        <v>2068</v>
      </c>
      <c r="AU477" s="44">
        <v>2069</v>
      </c>
      <c r="AV477" s="44">
        <v>2070</v>
      </c>
      <c r="AW477" s="44">
        <v>2071</v>
      </c>
      <c r="AX477" s="44">
        <v>2072</v>
      </c>
      <c r="AY477" s="44">
        <v>2073</v>
      </c>
      <c r="AZ477" s="44">
        <v>2074</v>
      </c>
      <c r="BA477" s="44">
        <v>2075</v>
      </c>
      <c r="BB477" s="44">
        <v>2076</v>
      </c>
      <c r="BC477" s="44">
        <v>2077</v>
      </c>
      <c r="BD477" s="44">
        <v>2078</v>
      </c>
      <c r="BE477" s="44">
        <v>2079</v>
      </c>
      <c r="BF477" s="44">
        <v>2080</v>
      </c>
      <c r="BG477" s="44">
        <v>2081</v>
      </c>
      <c r="BH477" s="44">
        <v>2082</v>
      </c>
      <c r="BI477" s="44">
        <v>2083</v>
      </c>
      <c r="BJ477" s="44">
        <v>2084</v>
      </c>
      <c r="BK477" s="44">
        <v>2085</v>
      </c>
      <c r="BL477" s="44">
        <v>2086</v>
      </c>
      <c r="BM477" s="44">
        <v>2087</v>
      </c>
      <c r="BN477" s="44">
        <v>2088</v>
      </c>
      <c r="BO477" s="44">
        <v>2089</v>
      </c>
      <c r="BP477" s="44">
        <v>2090</v>
      </c>
      <c r="BQ477" s="44">
        <v>2091</v>
      </c>
      <c r="BR477" s="44">
        <v>2092</v>
      </c>
      <c r="BS477" s="44">
        <v>2093</v>
      </c>
      <c r="BT477" s="44">
        <v>2094</v>
      </c>
      <c r="BU477" s="44">
        <v>2095</v>
      </c>
      <c r="BV477" s="44">
        <v>2096</v>
      </c>
      <c r="BW477" s="44">
        <v>2097</v>
      </c>
      <c r="BX477" s="44">
        <v>2098</v>
      </c>
      <c r="BY477" s="44">
        <v>2099</v>
      </c>
    </row>
    <row r="478" spans="2:77">
      <c r="B478" s="3" t="s">
        <v>116</v>
      </c>
      <c r="C478" s="10">
        <f>C445</f>
        <v>119.92649999999999</v>
      </c>
      <c r="D478" s="10">
        <f>C478+D445</f>
        <v>248.68851724137932</v>
      </c>
      <c r="E478" s="10">
        <f t="shared" ref="E478:BP478" si="90">D478+E445</f>
        <v>377.4505344827586</v>
      </c>
      <c r="F478" s="10">
        <f t="shared" si="90"/>
        <v>506.21255172413794</v>
      </c>
      <c r="G478" s="10">
        <f t="shared" si="90"/>
        <v>634.97456896551728</v>
      </c>
      <c r="H478" s="10">
        <f t="shared" si="90"/>
        <v>763.73658620689662</v>
      </c>
      <c r="I478" s="10">
        <f t="shared" si="90"/>
        <v>892.49860344827596</v>
      </c>
      <c r="J478" s="10">
        <f t="shared" si="90"/>
        <v>1021.2606206896553</v>
      </c>
      <c r="K478" s="10">
        <f t="shared" si="90"/>
        <v>1150.0226379310345</v>
      </c>
      <c r="L478" s="10">
        <f t="shared" si="90"/>
        <v>1278.7846551724137</v>
      </c>
      <c r="M478" s="10">
        <f t="shared" si="90"/>
        <v>1407.546672413793</v>
      </c>
      <c r="N478" s="10">
        <f t="shared" si="90"/>
        <v>1536.3086896551722</v>
      </c>
      <c r="O478" s="10">
        <f t="shared" si="90"/>
        <v>1665.0707068965514</v>
      </c>
      <c r="P478" s="10">
        <f t="shared" si="90"/>
        <v>1793.8327241379307</v>
      </c>
      <c r="Q478" s="10">
        <f t="shared" si="90"/>
        <v>1922.5947413793099</v>
      </c>
      <c r="R478" s="10">
        <f t="shared" si="90"/>
        <v>2051.3567586206891</v>
      </c>
      <c r="S478" s="10">
        <f t="shared" si="90"/>
        <v>2180.1187758620686</v>
      </c>
      <c r="T478" s="10">
        <f t="shared" si="90"/>
        <v>2308.880793103448</v>
      </c>
      <c r="U478" s="10">
        <f t="shared" si="90"/>
        <v>2437.6428103448275</v>
      </c>
      <c r="V478" s="10">
        <f t="shared" si="90"/>
        <v>2566.4048275862069</v>
      </c>
      <c r="W478" s="10">
        <f t="shared" si="90"/>
        <v>2695.1668448275864</v>
      </c>
      <c r="X478" s="10">
        <f t="shared" si="90"/>
        <v>2823.9288620689658</v>
      </c>
      <c r="Y478" s="10">
        <f t="shared" si="90"/>
        <v>2952.6908793103453</v>
      </c>
      <c r="Z478" s="10">
        <f t="shared" si="90"/>
        <v>3081.4528965517247</v>
      </c>
      <c r="AA478" s="10">
        <f t="shared" si="90"/>
        <v>3210.2149137931042</v>
      </c>
      <c r="AB478" s="10">
        <f t="shared" si="90"/>
        <v>3193.4274310344836</v>
      </c>
      <c r="AC478" s="10">
        <f t="shared" si="90"/>
        <v>3176.6399482758629</v>
      </c>
      <c r="AD478" s="10">
        <f t="shared" si="90"/>
        <v>3159.8524655172423</v>
      </c>
      <c r="AE478" s="10">
        <f t="shared" si="90"/>
        <v>3143.0649827586217</v>
      </c>
      <c r="AF478" s="10">
        <f t="shared" si="90"/>
        <v>3126.2775000000011</v>
      </c>
      <c r="AG478" s="10">
        <f t="shared" si="90"/>
        <v>3109.4900172413804</v>
      </c>
      <c r="AH478" s="10">
        <f t="shared" si="90"/>
        <v>3092.7025344827598</v>
      </c>
      <c r="AI478" s="10">
        <f t="shared" si="90"/>
        <v>3075.9150517241392</v>
      </c>
      <c r="AJ478" s="10">
        <f t="shared" si="90"/>
        <v>3059.1275689655185</v>
      </c>
      <c r="AK478" s="10">
        <f t="shared" si="90"/>
        <v>3042.3400862068979</v>
      </c>
      <c r="AL478" s="10">
        <f t="shared" si="90"/>
        <v>3025.5526034482773</v>
      </c>
      <c r="AM478" s="10">
        <f t="shared" si="90"/>
        <v>3008.7651206896567</v>
      </c>
      <c r="AN478" s="10">
        <f t="shared" si="90"/>
        <v>2991.977637931036</v>
      </c>
      <c r="AO478" s="10">
        <f t="shared" si="90"/>
        <v>2975.1901551724154</v>
      </c>
      <c r="AP478" s="10">
        <f t="shared" si="90"/>
        <v>2958.4026724137948</v>
      </c>
      <c r="AQ478" s="10">
        <f t="shared" si="90"/>
        <v>2941.6151896551742</v>
      </c>
      <c r="AR478" s="10">
        <f t="shared" si="90"/>
        <v>2924.8277068965535</v>
      </c>
      <c r="AS478" s="10">
        <f t="shared" si="90"/>
        <v>2908.0402241379329</v>
      </c>
      <c r="AT478" s="10">
        <f t="shared" si="90"/>
        <v>2891.2527413793123</v>
      </c>
      <c r="AU478" s="10">
        <f t="shared" si="90"/>
        <v>2874.4652586206917</v>
      </c>
      <c r="AV478" s="10">
        <f t="shared" si="90"/>
        <v>2857.677775862071</v>
      </c>
      <c r="AW478" s="10">
        <f t="shared" si="90"/>
        <v>2840.8902931034504</v>
      </c>
      <c r="AX478" s="10">
        <f t="shared" si="90"/>
        <v>2824.1028103448298</v>
      </c>
      <c r="AY478" s="10">
        <f t="shared" si="90"/>
        <v>2807.3153275862092</v>
      </c>
      <c r="AZ478" s="10">
        <f t="shared" si="90"/>
        <v>2790.5278448275885</v>
      </c>
      <c r="BA478" s="10">
        <f t="shared" si="90"/>
        <v>2773.7403620689679</v>
      </c>
      <c r="BB478" s="10">
        <f t="shared" si="90"/>
        <v>2756.9528793103473</v>
      </c>
      <c r="BC478" s="10">
        <f t="shared" si="90"/>
        <v>2740.1653965517266</v>
      </c>
      <c r="BD478" s="10">
        <f t="shared" si="90"/>
        <v>2723.377913793106</v>
      </c>
      <c r="BE478" s="10">
        <f t="shared" si="90"/>
        <v>2706.5904310344854</v>
      </c>
      <c r="BF478" s="10">
        <f t="shared" si="90"/>
        <v>2689.8029482758648</v>
      </c>
      <c r="BG478" s="10">
        <f t="shared" si="90"/>
        <v>2673.0154655172441</v>
      </c>
      <c r="BH478" s="10">
        <f t="shared" si="90"/>
        <v>2656.2279827586235</v>
      </c>
      <c r="BI478" s="10">
        <f t="shared" si="90"/>
        <v>2639.4405000000029</v>
      </c>
      <c r="BJ478" s="10">
        <f t="shared" si="90"/>
        <v>2622.6530172413823</v>
      </c>
      <c r="BK478" s="10">
        <f t="shared" si="90"/>
        <v>2605.8655344827616</v>
      </c>
      <c r="BL478" s="10">
        <f t="shared" si="90"/>
        <v>2589.078051724141</v>
      </c>
      <c r="BM478" s="10">
        <f t="shared" si="90"/>
        <v>2572.2905689655204</v>
      </c>
      <c r="BN478" s="10">
        <f t="shared" si="90"/>
        <v>2555.5030862068998</v>
      </c>
      <c r="BO478" s="10">
        <f t="shared" si="90"/>
        <v>2538.7156034482791</v>
      </c>
      <c r="BP478" s="10">
        <f t="shared" si="90"/>
        <v>2521.9281206896585</v>
      </c>
      <c r="BQ478" s="10">
        <f t="shared" ref="BQ478:BY478" si="91">BP478+BQ445</f>
        <v>2505.1406379310379</v>
      </c>
      <c r="BR478" s="10">
        <f t="shared" si="91"/>
        <v>2488.3531551724172</v>
      </c>
      <c r="BS478" s="10">
        <f t="shared" si="91"/>
        <v>2471.5656724137966</v>
      </c>
      <c r="BT478" s="10">
        <f t="shared" si="91"/>
        <v>2454.778189655176</v>
      </c>
      <c r="BU478" s="10">
        <f t="shared" si="91"/>
        <v>2437.9907068965554</v>
      </c>
      <c r="BV478" s="10">
        <f t="shared" si="91"/>
        <v>2421.2032241379347</v>
      </c>
      <c r="BW478" s="10">
        <f t="shared" si="91"/>
        <v>2404.4157413793141</v>
      </c>
      <c r="BX478" s="10">
        <f t="shared" si="91"/>
        <v>2387.6282586206935</v>
      </c>
      <c r="BY478" s="10">
        <f t="shared" si="91"/>
        <v>2370.8407758620729</v>
      </c>
    </row>
    <row r="479" spans="2:77">
      <c r="B479" s="3" t="s">
        <v>117</v>
      </c>
      <c r="C479" s="10">
        <f>C451</f>
        <v>5788.8854590000001</v>
      </c>
      <c r="D479" s="10">
        <f>C479+D451</f>
        <v>11354.026096881378</v>
      </c>
      <c r="E479" s="10">
        <f t="shared" ref="E479:BP479" si="92">D479+E451</f>
        <v>16686.586396402756</v>
      </c>
      <c r="F479" s="10">
        <f t="shared" si="92"/>
        <v>21786.566357564134</v>
      </c>
      <c r="G479" s="10">
        <f t="shared" si="92"/>
        <v>26653.965980365512</v>
      </c>
      <c r="H479" s="10">
        <f t="shared" si="92"/>
        <v>31288.785264806891</v>
      </c>
      <c r="I479" s="10">
        <f t="shared" si="92"/>
        <v>35691.024210888267</v>
      </c>
      <c r="J479" s="10">
        <f t="shared" si="92"/>
        <v>39860.682818609646</v>
      </c>
      <c r="K479" s="10">
        <f t="shared" si="92"/>
        <v>43797.761087971026</v>
      </c>
      <c r="L479" s="10">
        <f t="shared" si="92"/>
        <v>47502.259018972407</v>
      </c>
      <c r="M479" s="10">
        <f t="shared" si="92"/>
        <v>50974.176611613788</v>
      </c>
      <c r="N479" s="10">
        <f t="shared" si="92"/>
        <v>54213.513865895169</v>
      </c>
      <c r="O479" s="10">
        <f t="shared" si="92"/>
        <v>57220.270781816551</v>
      </c>
      <c r="P479" s="10">
        <f t="shared" si="92"/>
        <v>59994.447359377933</v>
      </c>
      <c r="Q479" s="10">
        <f t="shared" si="92"/>
        <v>62536.043598579316</v>
      </c>
      <c r="R479" s="10">
        <f t="shared" si="92"/>
        <v>64845.059499420691</v>
      </c>
      <c r="S479" s="10">
        <f t="shared" si="92"/>
        <v>66921.495061902067</v>
      </c>
      <c r="T479" s="10">
        <f t="shared" si="92"/>
        <v>68765.350286023444</v>
      </c>
      <c r="U479" s="10">
        <f t="shared" si="92"/>
        <v>70376.625171784821</v>
      </c>
      <c r="V479" s="10">
        <f t="shared" si="92"/>
        <v>71755.319719186198</v>
      </c>
      <c r="W479" s="10">
        <f t="shared" si="92"/>
        <v>72901.433928227576</v>
      </c>
      <c r="X479" s="10">
        <f t="shared" si="92"/>
        <v>73814.967798908954</v>
      </c>
      <c r="Y479" s="10">
        <f t="shared" si="92"/>
        <v>74495.921331230333</v>
      </c>
      <c r="Z479" s="10">
        <f t="shared" si="92"/>
        <v>74944.294525191712</v>
      </c>
      <c r="AA479" s="10">
        <f t="shared" si="92"/>
        <v>75160.087380793091</v>
      </c>
      <c r="AB479" s="10">
        <f t="shared" si="92"/>
        <v>75143.299898034471</v>
      </c>
      <c r="AC479" s="10">
        <f t="shared" si="92"/>
        <v>75126.512415275851</v>
      </c>
      <c r="AD479" s="10">
        <f t="shared" si="92"/>
        <v>75109.724932517231</v>
      </c>
      <c r="AE479" s="10">
        <f t="shared" si="92"/>
        <v>75092.93744975861</v>
      </c>
      <c r="AF479" s="10">
        <f t="shared" si="92"/>
        <v>75076.14996699999</v>
      </c>
      <c r="AG479" s="10">
        <f t="shared" si="92"/>
        <v>75059.36248424137</v>
      </c>
      <c r="AH479" s="10">
        <f t="shared" si="92"/>
        <v>75042.57500148275</v>
      </c>
      <c r="AI479" s="10">
        <f t="shared" si="92"/>
        <v>75025.78751872413</v>
      </c>
      <c r="AJ479" s="10">
        <f t="shared" si="92"/>
        <v>75009.00003596551</v>
      </c>
      <c r="AK479" s="10">
        <f t="shared" si="92"/>
        <v>74992.212553206889</v>
      </c>
      <c r="AL479" s="10">
        <f t="shared" si="92"/>
        <v>74975.425070448269</v>
      </c>
      <c r="AM479" s="10">
        <f t="shared" si="92"/>
        <v>74958.637587689649</v>
      </c>
      <c r="AN479" s="10">
        <f t="shared" si="92"/>
        <v>74941.850104931029</v>
      </c>
      <c r="AO479" s="10">
        <f t="shared" si="92"/>
        <v>74925.062622172409</v>
      </c>
      <c r="AP479" s="10">
        <f t="shared" si="92"/>
        <v>74908.275139413789</v>
      </c>
      <c r="AQ479" s="10">
        <f t="shared" si="92"/>
        <v>74891.487656655168</v>
      </c>
      <c r="AR479" s="10">
        <f t="shared" si="92"/>
        <v>74874.700173896548</v>
      </c>
      <c r="AS479" s="10">
        <f t="shared" si="92"/>
        <v>74857.912691137928</v>
      </c>
      <c r="AT479" s="10">
        <f t="shared" si="92"/>
        <v>74841.125208379308</v>
      </c>
      <c r="AU479" s="10">
        <f t="shared" si="92"/>
        <v>74824.337725620688</v>
      </c>
      <c r="AV479" s="10">
        <f t="shared" si="92"/>
        <v>74807.550242862068</v>
      </c>
      <c r="AW479" s="10">
        <f t="shared" si="92"/>
        <v>74790.762760103447</v>
      </c>
      <c r="AX479" s="10">
        <f t="shared" si="92"/>
        <v>74773.975277344827</v>
      </c>
      <c r="AY479" s="10">
        <f t="shared" si="92"/>
        <v>74757.187794586207</v>
      </c>
      <c r="AZ479" s="10">
        <f t="shared" si="92"/>
        <v>74740.400311827587</v>
      </c>
      <c r="BA479" s="10">
        <f t="shared" si="92"/>
        <v>74723.612829068967</v>
      </c>
      <c r="BB479" s="10">
        <f t="shared" si="92"/>
        <v>74706.825346310347</v>
      </c>
      <c r="BC479" s="10">
        <f t="shared" si="92"/>
        <v>74690.037863551726</v>
      </c>
      <c r="BD479" s="10">
        <f t="shared" si="92"/>
        <v>74673.250380793106</v>
      </c>
      <c r="BE479" s="10">
        <f t="shared" si="92"/>
        <v>74656.462898034486</v>
      </c>
      <c r="BF479" s="10">
        <f t="shared" si="92"/>
        <v>74639.675415275866</v>
      </c>
      <c r="BG479" s="10">
        <f t="shared" si="92"/>
        <v>74622.887932517246</v>
      </c>
      <c r="BH479" s="10">
        <f t="shared" si="92"/>
        <v>74606.100449758625</v>
      </c>
      <c r="BI479" s="10">
        <f t="shared" si="92"/>
        <v>74589.312967000005</v>
      </c>
      <c r="BJ479" s="10">
        <f t="shared" si="92"/>
        <v>74572.525484241385</v>
      </c>
      <c r="BK479" s="10">
        <f t="shared" si="92"/>
        <v>74555.738001482765</v>
      </c>
      <c r="BL479" s="10">
        <f t="shared" si="92"/>
        <v>74538.950518724145</v>
      </c>
      <c r="BM479" s="10">
        <f t="shared" si="92"/>
        <v>74522.163035965525</v>
      </c>
      <c r="BN479" s="10">
        <f t="shared" si="92"/>
        <v>74505.375553206904</v>
      </c>
      <c r="BO479" s="10">
        <f t="shared" si="92"/>
        <v>74488.588070448284</v>
      </c>
      <c r="BP479" s="10">
        <f t="shared" si="92"/>
        <v>74471.800587689664</v>
      </c>
      <c r="BQ479" s="10">
        <f t="shared" ref="BQ479:BY479" si="93">BP479+BQ451</f>
        <v>74455.013104931044</v>
      </c>
      <c r="BR479" s="10">
        <f t="shared" si="93"/>
        <v>74438.225622172424</v>
      </c>
      <c r="BS479" s="10">
        <f t="shared" si="93"/>
        <v>74421.438139413804</v>
      </c>
      <c r="BT479" s="10">
        <f t="shared" si="93"/>
        <v>74404.650656655183</v>
      </c>
      <c r="BU479" s="10">
        <f t="shared" si="93"/>
        <v>74387.863173896563</v>
      </c>
      <c r="BV479" s="10">
        <f t="shared" si="93"/>
        <v>74371.075691137943</v>
      </c>
      <c r="BW479" s="10">
        <f t="shared" si="93"/>
        <v>74354.288208379323</v>
      </c>
      <c r="BX479" s="10">
        <f t="shared" si="93"/>
        <v>74337.500725620703</v>
      </c>
      <c r="BY479" s="10">
        <f t="shared" si="93"/>
        <v>74320.713242862083</v>
      </c>
    </row>
    <row r="480" spans="2:77">
      <c r="B480" s="3" t="s">
        <v>263</v>
      </c>
      <c r="C480" s="10">
        <f>C467+C473</f>
        <v>5144.23674908256</v>
      </c>
      <c r="D480" s="10">
        <f>C480+(D467+D473)</f>
        <v>5183.5186245915602</v>
      </c>
      <c r="E480" s="10">
        <f t="shared" ref="E480:BP480" si="94">D480+(E467+E473)</f>
        <v>5222.8005001005604</v>
      </c>
      <c r="F480" s="10">
        <f t="shared" si="94"/>
        <v>5262.0823756095606</v>
      </c>
      <c r="G480" s="10">
        <f t="shared" si="94"/>
        <v>5301.3642511185608</v>
      </c>
      <c r="H480" s="10">
        <f t="shared" si="94"/>
        <v>5340.646126627561</v>
      </c>
      <c r="I480" s="10">
        <f t="shared" si="94"/>
        <v>5379.9280021365612</v>
      </c>
      <c r="J480" s="10">
        <f t="shared" si="94"/>
        <v>5419.2098776455614</v>
      </c>
      <c r="K480" s="10">
        <f t="shared" si="94"/>
        <v>5458.4917531545616</v>
      </c>
      <c r="L480" s="10">
        <f t="shared" si="94"/>
        <v>5497.7736286635618</v>
      </c>
      <c r="M480" s="10">
        <f t="shared" si="94"/>
        <v>5537.055504172562</v>
      </c>
      <c r="N480" s="10">
        <f t="shared" si="94"/>
        <v>5576.3373796815622</v>
      </c>
      <c r="O480" s="10">
        <f t="shared" si="94"/>
        <v>5615.6192551905624</v>
      </c>
      <c r="P480" s="10">
        <f t="shared" si="94"/>
        <v>5654.9011306995626</v>
      </c>
      <c r="Q480" s="10">
        <f t="shared" si="94"/>
        <v>5694.1830062085628</v>
      </c>
      <c r="R480" s="10">
        <f t="shared" si="94"/>
        <v>5733.464881717563</v>
      </c>
      <c r="S480" s="10">
        <f t="shared" si="94"/>
        <v>5772.7467572265632</v>
      </c>
      <c r="T480" s="10">
        <f t="shared" si="94"/>
        <v>5812.0286327355634</v>
      </c>
      <c r="U480" s="10">
        <f t="shared" si="94"/>
        <v>5851.3105082445636</v>
      </c>
      <c r="V480" s="10">
        <f t="shared" si="94"/>
        <v>5890.5923837535638</v>
      </c>
      <c r="W480" s="10">
        <f t="shared" si="94"/>
        <v>5887.5222451175641</v>
      </c>
      <c r="X480" s="10">
        <f t="shared" si="94"/>
        <v>5884.4521064815644</v>
      </c>
      <c r="Y480" s="10">
        <f t="shared" si="94"/>
        <v>5881.3819678455648</v>
      </c>
      <c r="Z480" s="10">
        <f t="shared" si="94"/>
        <v>5878.3118292095651</v>
      </c>
      <c r="AA480" s="10">
        <f t="shared" si="94"/>
        <v>5875.2416905735654</v>
      </c>
      <c r="AB480" s="10">
        <f t="shared" si="94"/>
        <v>5872.1715519375657</v>
      </c>
      <c r="AC480" s="10">
        <f t="shared" si="94"/>
        <v>5869.101413301566</v>
      </c>
      <c r="AD480" s="10">
        <f t="shared" si="94"/>
        <v>5866.0312746655663</v>
      </c>
      <c r="AE480" s="10">
        <f t="shared" si="94"/>
        <v>5862.9611360295667</v>
      </c>
      <c r="AF480" s="10">
        <f t="shared" si="94"/>
        <v>5859.890997393567</v>
      </c>
      <c r="AG480" s="10">
        <f t="shared" si="94"/>
        <v>5854.2118463216711</v>
      </c>
      <c r="AH480" s="10">
        <f t="shared" si="94"/>
        <v>5848.5326952497753</v>
      </c>
      <c r="AI480" s="10">
        <f t="shared" si="94"/>
        <v>5842.8535441778795</v>
      </c>
      <c r="AJ480" s="10">
        <f t="shared" si="94"/>
        <v>5837.1743931059837</v>
      </c>
      <c r="AK480" s="10">
        <f t="shared" si="94"/>
        <v>5831.4952420340878</v>
      </c>
      <c r="AL480" s="10">
        <f t="shared" si="94"/>
        <v>5825.816090962192</v>
      </c>
      <c r="AM480" s="10">
        <f t="shared" si="94"/>
        <v>5820.1369398902962</v>
      </c>
      <c r="AN480" s="10">
        <f t="shared" si="94"/>
        <v>5814.4577888184003</v>
      </c>
      <c r="AO480" s="10">
        <f t="shared" si="94"/>
        <v>5808.7786377465045</v>
      </c>
      <c r="AP480" s="10">
        <f t="shared" si="94"/>
        <v>5803.0994866746087</v>
      </c>
      <c r="AQ480" s="10">
        <f t="shared" si="94"/>
        <v>5797.4203356027128</v>
      </c>
      <c r="AR480" s="10">
        <f t="shared" si="94"/>
        <v>5791.741184530817</v>
      </c>
      <c r="AS480" s="10">
        <f t="shared" si="94"/>
        <v>5786.0620334589212</v>
      </c>
      <c r="AT480" s="10">
        <f t="shared" si="94"/>
        <v>5780.3828823870253</v>
      </c>
      <c r="AU480" s="10">
        <f t="shared" si="94"/>
        <v>5774.7037313151295</v>
      </c>
      <c r="AV480" s="10">
        <f t="shared" si="94"/>
        <v>5769.0245802432337</v>
      </c>
      <c r="AW480" s="10">
        <f t="shared" si="94"/>
        <v>5763.3454291713379</v>
      </c>
      <c r="AX480" s="10">
        <f t="shared" si="94"/>
        <v>5757.666278099442</v>
      </c>
      <c r="AY480" s="10">
        <f t="shared" si="94"/>
        <v>5751.9871270275462</v>
      </c>
      <c r="AZ480" s="10">
        <f t="shared" si="94"/>
        <v>5746.3079759556504</v>
      </c>
      <c r="BA480" s="10">
        <f t="shared" si="94"/>
        <v>5740.6288248837545</v>
      </c>
      <c r="BB480" s="10">
        <f t="shared" si="94"/>
        <v>5734.9496738118587</v>
      </c>
      <c r="BC480" s="10">
        <f t="shared" si="94"/>
        <v>5729.2705227399629</v>
      </c>
      <c r="BD480" s="10">
        <f t="shared" si="94"/>
        <v>5723.591371668067</v>
      </c>
      <c r="BE480" s="10">
        <f t="shared" si="94"/>
        <v>5717.9122205961712</v>
      </c>
      <c r="BF480" s="10">
        <f t="shared" si="94"/>
        <v>5712.2330695242754</v>
      </c>
      <c r="BG480" s="10">
        <f t="shared" si="94"/>
        <v>5706.5539184523795</v>
      </c>
      <c r="BH480" s="10">
        <f t="shared" si="94"/>
        <v>5700.8747673804837</v>
      </c>
      <c r="BI480" s="10">
        <f t="shared" si="94"/>
        <v>5695.1956163085879</v>
      </c>
      <c r="BJ480" s="10">
        <f t="shared" si="94"/>
        <v>5689.5164652366921</v>
      </c>
      <c r="BK480" s="10">
        <f t="shared" si="94"/>
        <v>5683.8373141647962</v>
      </c>
      <c r="BL480" s="10">
        <f t="shared" si="94"/>
        <v>5678.1581630929004</v>
      </c>
      <c r="BM480" s="10">
        <f t="shared" si="94"/>
        <v>5672.4790120210046</v>
      </c>
      <c r="BN480" s="10">
        <f t="shared" si="94"/>
        <v>5666.7998609491087</v>
      </c>
      <c r="BO480" s="10">
        <f t="shared" si="94"/>
        <v>5661.1207098772129</v>
      </c>
      <c r="BP480" s="10">
        <f t="shared" si="94"/>
        <v>5655.4415588053171</v>
      </c>
      <c r="BQ480" s="10">
        <f t="shared" ref="BQ480:BY480" si="95">BP480+(BQ467+BQ473)</f>
        <v>5649.7624077334212</v>
      </c>
      <c r="BR480" s="10">
        <f t="shared" si="95"/>
        <v>5644.0832566615254</v>
      </c>
      <c r="BS480" s="10">
        <f t="shared" si="95"/>
        <v>5638.4041055896296</v>
      </c>
      <c r="BT480" s="10">
        <f t="shared" si="95"/>
        <v>5632.7249545177337</v>
      </c>
      <c r="BU480" s="10">
        <f t="shared" si="95"/>
        <v>5627.0458034458379</v>
      </c>
      <c r="BV480" s="10">
        <f t="shared" si="95"/>
        <v>5621.3666523739421</v>
      </c>
      <c r="BW480" s="10">
        <f t="shared" si="95"/>
        <v>5615.6875013020463</v>
      </c>
      <c r="BX480" s="10">
        <f t="shared" si="95"/>
        <v>5610.0083502301504</v>
      </c>
      <c r="BY480" s="10">
        <f t="shared" si="95"/>
        <v>5604.3291991582546</v>
      </c>
    </row>
  </sheetData>
  <mergeCells count="3">
    <mergeCell ref="D44:E44"/>
    <mergeCell ref="F44:K44"/>
    <mergeCell ref="D383:E383"/>
  </mergeCells>
  <pageMargins left="0.7" right="0.7" top="0.75" bottom="0.75" header="0.3" footer="0.3"/>
  <pageSetup paperSize="9" scale="16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BD74FA3D-80B2-4020-8C54-59C3C6768B85}">
  <ds:schemaRefs/>
</ds:datastoreItem>
</file>

<file path=customXml/itemProps2.xml><?xml version="1.0" encoding="utf-8"?>
<ds:datastoreItem xmlns:ds="http://schemas.openxmlformats.org/officeDocument/2006/customXml" ds:itemID="{06CE34CE-0F31-4F82-8CA0-3DB04D42F4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Beregning v2</vt:lpstr>
      <vt:lpstr>'Beregning v2'!Utskriftsområde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Buvik, Elsa Mathilde</dc:creator>
  <cp:keywords/>
  <dc:description/>
  <cp:lastModifiedBy>Jørgen Bølling</cp:lastModifiedBy>
  <cp:lastPrinted>2024-08-08T14:13:13Z</cp:lastPrinted>
  <dcterms:created xsi:type="dcterms:W3CDTF">2022-11-26T04:12:53Z</dcterms:created>
  <dcterms:modified xsi:type="dcterms:W3CDTF">2025-08-07T04:54:31Z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multiconsult</vt:lpwstr>
  </property>
  <property fmtid="{D5CDD505-2E9C-101B-9397-08002B2CF9AE}" pid="3" name="TemplafyTemplateId">
    <vt:lpwstr>638049558596566300</vt:lpwstr>
  </property>
  <property fmtid="{D5CDD505-2E9C-101B-9397-08002B2CF9AE}" pid="4" name="TemplafyUserProfileId">
    <vt:lpwstr>637806775266931067</vt:lpwstr>
  </property>
  <property fmtid="{D5CDD505-2E9C-101B-9397-08002B2CF9AE}" pid="5" name="TemplafyLanguageCode">
    <vt:lpwstr>nb-NO</vt:lpwstr>
  </property>
  <property fmtid="{D5CDD505-2E9C-101B-9397-08002B2CF9AE}" pid="6" name="TemplafyFromBlank">
    <vt:bool>true</vt:bool>
  </property>
</Properties>
</file>